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wllivelink.nwl.co.uk/livelinkdav/nodes/98350677/"/>
    </mc:Choice>
  </mc:AlternateContent>
  <bookViews>
    <workbookView xWindow="195" yWindow="1680" windowWidth="17340" windowHeight="10335" activeTab="2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definedNames>
    <definedName name="Additional.Analysis">Data!$G$22</definedName>
    <definedName name="Adj.AllRev.Waste">'WRFIM - Waste'!$I$33:$U$33</definedName>
    <definedName name="Adj.AllRev.Water">'WRFIM - Water'!$I$33:$U$33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Waste'!$I$27:$U$27</definedName>
    <definedName name="AMP6.FI.Adj.Water">'WRFIM - Water'!$I$27:$U$27</definedName>
    <definedName name="Baseline.AllRev.Waste">'WRFIM - Waste'!$I$34:$U$34</definedName>
    <definedName name="Baseline.AllRev.Water">'WRFIM - Water'!$I$34:$U$34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Waste'!$I$39:$U$39</definedName>
    <definedName name="Perc.Recovered.Water">'WRFIM - Water'!$I$39:$U$39</definedName>
    <definedName name="_xlnm.Print_Area" localSheetId="3">RPI!$A$1:$V$58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Waste'!$P$76</definedName>
    <definedName name="WRFIM.Water">'WRFIM - Water'!$P$76</definedName>
  </definedNames>
  <calcPr calcId="152511" calcOnSave="0"/>
</workbook>
</file>

<file path=xl/calcChain.xml><?xml version="1.0" encoding="utf-8"?>
<calcChain xmlns="http://schemas.openxmlformats.org/spreadsheetml/2006/main">
  <c r="O51" i="12" l="1"/>
  <c r="O36" i="6" l="1"/>
  <c r="L47" i="5" l="1"/>
  <c r="L43" i="5"/>
  <c r="M36" i="6" l="1"/>
  <c r="E31" i="5" l="1"/>
  <c r="E29" i="5"/>
  <c r="P31" i="5" l="1"/>
  <c r="O29" i="5"/>
  <c r="P31" i="6"/>
  <c r="O29" i="6"/>
  <c r="E31" i="6"/>
  <c r="E29" i="6"/>
  <c r="H28" i="6" l="1"/>
  <c r="G28" i="6"/>
  <c r="E28" i="6"/>
  <c r="D28" i="6"/>
  <c r="H28" i="5"/>
  <c r="G28" i="5"/>
  <c r="D28" i="5"/>
  <c r="E28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27" i="5"/>
  <c r="L27" i="5"/>
  <c r="M27" i="6"/>
  <c r="L27" i="6"/>
  <c r="P36" i="6"/>
  <c r="N36" i="6"/>
  <c r="L36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O30" i="12" s="1"/>
  <c r="P30" i="12" s="1"/>
  <c r="Q30" i="12" s="1"/>
  <c r="R30" i="12" s="1"/>
  <c r="S30" i="12" s="1"/>
  <c r="T30" i="12" s="1"/>
  <c r="U30" i="12" s="1"/>
  <c r="I31" i="12"/>
  <c r="J31" i="12"/>
  <c r="K31" i="12"/>
  <c r="L31" i="12"/>
  <c r="M31" i="12"/>
  <c r="N31" i="12" s="1"/>
  <c r="O31" i="12" s="1"/>
  <c r="P31" i="12" s="1"/>
  <c r="Q31" i="12" s="1"/>
  <c r="R31" i="12" s="1"/>
  <c r="S31" i="12" s="1"/>
  <c r="T31" i="12" s="1"/>
  <c r="U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O33" i="12" s="1"/>
  <c r="P33" i="12" s="1"/>
  <c r="Q33" i="12" s="1"/>
  <c r="R33" i="12" s="1"/>
  <c r="S33" i="12" s="1"/>
  <c r="T33" i="12" s="1"/>
  <c r="U33" i="12" s="1"/>
  <c r="I34" i="12"/>
  <c r="J34" i="12"/>
  <c r="K34" i="12"/>
  <c r="L34" i="12"/>
  <c r="M34" i="12"/>
  <c r="N34" i="12" s="1"/>
  <c r="O34" i="12" s="1"/>
  <c r="P34" i="12" s="1"/>
  <c r="Q34" i="12" s="1"/>
  <c r="R34" i="12" s="1"/>
  <c r="S34" i="12" s="1"/>
  <c r="T34" i="12" s="1"/>
  <c r="U34" i="12" s="1"/>
  <c r="I35" i="12"/>
  <c r="J35" i="12"/>
  <c r="K35" i="12"/>
  <c r="L35" i="12"/>
  <c r="M35" i="12"/>
  <c r="N35" i="12" s="1"/>
  <c r="O35" i="12" s="1"/>
  <c r="P35" i="12" s="1"/>
  <c r="Q35" i="12" s="1"/>
  <c r="R35" i="12" s="1"/>
  <c r="S35" i="12" s="1"/>
  <c r="T35" i="12" s="1"/>
  <c r="U35" i="12" s="1"/>
  <c r="H36" i="12"/>
  <c r="I37" i="12"/>
  <c r="J37" i="12"/>
  <c r="K37" i="12"/>
  <c r="L37" i="12"/>
  <c r="M37" i="12"/>
  <c r="N37" i="12" s="1"/>
  <c r="O37" i="12" s="1"/>
  <c r="P37" i="12" s="1"/>
  <c r="Q37" i="12" s="1"/>
  <c r="R37" i="12" s="1"/>
  <c r="S37" i="12" s="1"/>
  <c r="T37" i="12" s="1"/>
  <c r="U37" i="12" s="1"/>
  <c r="I38" i="12"/>
  <c r="J38" i="12"/>
  <c r="K38" i="12"/>
  <c r="L38" i="12"/>
  <c r="M38" i="12"/>
  <c r="N38" i="12" s="1"/>
  <c r="O38" i="12" s="1"/>
  <c r="P38" i="12" s="1"/>
  <c r="Q38" i="12" s="1"/>
  <c r="R38" i="12" s="1"/>
  <c r="S38" i="12" s="1"/>
  <c r="T38" i="12" s="1"/>
  <c r="U38" i="12" s="1"/>
  <c r="I39" i="12"/>
  <c r="J39" i="12"/>
  <c r="K39" i="12"/>
  <c r="L39" i="12"/>
  <c r="M39" i="12"/>
  <c r="N39" i="12" s="1"/>
  <c r="O39" i="12" s="1"/>
  <c r="P39" i="12" s="1"/>
  <c r="Q39" i="12" s="1"/>
  <c r="R39" i="12" s="1"/>
  <c r="S39" i="12" s="1"/>
  <c r="T39" i="12" s="1"/>
  <c r="U39" i="12" s="1"/>
  <c r="I40" i="12"/>
  <c r="J40" i="12"/>
  <c r="K40" i="12"/>
  <c r="L40" i="12"/>
  <c r="M40" i="12"/>
  <c r="N40" i="12" s="1"/>
  <c r="O40" i="12" s="1"/>
  <c r="P40" i="12" s="1"/>
  <c r="Q40" i="12" s="1"/>
  <c r="R40" i="12" s="1"/>
  <c r="S40" i="12" s="1"/>
  <c r="T40" i="12" s="1"/>
  <c r="U40" i="12" s="1"/>
  <c r="I36" i="12"/>
  <c r="N29" i="12"/>
  <c r="O29" i="12" s="1"/>
  <c r="P29" i="12" s="1"/>
  <c r="J36" i="12"/>
  <c r="K36" i="12"/>
  <c r="L36" i="12"/>
  <c r="M36" i="12"/>
  <c r="K19" i="6"/>
  <c r="K20" i="6" s="1"/>
  <c r="L20" i="6" s="1"/>
  <c r="M20" i="6" s="1"/>
  <c r="N20" i="6" s="1"/>
  <c r="K19" i="5"/>
  <c r="K20" i="5" s="1"/>
  <c r="L20" i="5" s="1"/>
  <c r="M20" i="5" s="1"/>
  <c r="N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L36" i="5"/>
  <c r="M36" i="5"/>
  <c r="N36" i="5"/>
  <c r="O36" i="5"/>
  <c r="P36" i="5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51" i="12" l="1"/>
  <c r="L13" i="6" s="1"/>
  <c r="L14" i="6" s="1"/>
  <c r="L15" i="6" s="1"/>
  <c r="L33" i="6" s="1"/>
  <c r="K51" i="12"/>
  <c r="J51" i="12"/>
  <c r="O20" i="6"/>
  <c r="P20" i="6" s="1"/>
  <c r="P22" i="6" s="1"/>
  <c r="N22" i="6"/>
  <c r="J49" i="12"/>
  <c r="N49" i="12"/>
  <c r="K49" i="12"/>
  <c r="I49" i="12"/>
  <c r="L49" i="12"/>
  <c r="M49" i="12"/>
  <c r="I41" i="12"/>
  <c r="M51" i="12"/>
  <c r="N51" i="12"/>
  <c r="Q29" i="12"/>
  <c r="K41" i="12"/>
  <c r="L41" i="12"/>
  <c r="M41" i="12"/>
  <c r="N22" i="5"/>
  <c r="O20" i="5"/>
  <c r="O32" i="12"/>
  <c r="J41" i="12"/>
  <c r="N36" i="12"/>
  <c r="O49" i="12" s="1"/>
  <c r="L13" i="5" l="1"/>
  <c r="L14" i="5" s="1"/>
  <c r="L15" i="5" s="1"/>
  <c r="N23" i="5"/>
  <c r="O22" i="6"/>
  <c r="O23" i="6" s="1"/>
  <c r="N23" i="6"/>
  <c r="O36" i="12"/>
  <c r="P49" i="12" s="1"/>
  <c r="O22" i="5"/>
  <c r="O23" i="5" s="1"/>
  <c r="P20" i="5"/>
  <c r="P22" i="5" s="1"/>
  <c r="N13" i="6"/>
  <c r="N14" i="6" s="1"/>
  <c r="N13" i="5"/>
  <c r="N14" i="5" s="1"/>
  <c r="M13" i="5"/>
  <c r="M14" i="5" s="1"/>
  <c r="M13" i="6"/>
  <c r="M14" i="6" s="1"/>
  <c r="M15" i="6" s="1"/>
  <c r="M33" i="6" s="1"/>
  <c r="M43" i="6"/>
  <c r="N41" i="12"/>
  <c r="L32" i="6"/>
  <c r="P32" i="12"/>
  <c r="R29" i="12"/>
  <c r="L32" i="5" l="1"/>
  <c r="L33" i="5"/>
  <c r="L34" i="5" s="1"/>
  <c r="L48" i="5" s="1"/>
  <c r="L49" i="5" s="1"/>
  <c r="L51" i="5" s="1"/>
  <c r="L52" i="5" s="1"/>
  <c r="L53" i="5" s="1"/>
  <c r="L38" i="6"/>
  <c r="L42" i="6" s="1"/>
  <c r="L43" i="6" s="1"/>
  <c r="M15" i="5"/>
  <c r="O41" i="12"/>
  <c r="P51" i="12"/>
  <c r="N15" i="6"/>
  <c r="M32" i="6"/>
  <c r="Q32" i="12"/>
  <c r="S29" i="12"/>
  <c r="O13" i="5"/>
  <c r="O14" i="5" s="1"/>
  <c r="O13" i="6"/>
  <c r="O14" i="6" s="1"/>
  <c r="P23" i="6"/>
  <c r="P36" i="12"/>
  <c r="Q49" i="12" s="1"/>
  <c r="N54" i="5" l="1"/>
  <c r="N58" i="5" s="1"/>
  <c r="N27" i="5"/>
  <c r="P13" i="5"/>
  <c r="P14" i="5" s="1"/>
  <c r="P30" i="5"/>
  <c r="P30" i="6"/>
  <c r="M32" i="5"/>
  <c r="L34" i="6"/>
  <c r="L47" i="6" s="1"/>
  <c r="L48" i="6" s="1"/>
  <c r="L49" i="6" s="1"/>
  <c r="L51" i="6" s="1"/>
  <c r="L52" i="6" s="1"/>
  <c r="L53" i="6" s="1"/>
  <c r="N54" i="6" s="1"/>
  <c r="N58" i="6" s="1"/>
  <c r="N15" i="5"/>
  <c r="O15" i="5" s="1"/>
  <c r="M33" i="5"/>
  <c r="M38" i="5" s="1"/>
  <c r="M42" i="5" s="1"/>
  <c r="M43" i="5" s="1"/>
  <c r="L38" i="5"/>
  <c r="L42" i="5" s="1"/>
  <c r="P13" i="6"/>
  <c r="P14" i="6" s="1"/>
  <c r="M38" i="6"/>
  <c r="M42" i="6" s="1"/>
  <c r="Q51" i="12"/>
  <c r="N44" i="6"/>
  <c r="N57" i="6" s="1"/>
  <c r="Q36" i="12"/>
  <c r="R49" i="12" s="1"/>
  <c r="P41" i="12"/>
  <c r="T29" i="12"/>
  <c r="R32" i="12"/>
  <c r="P23" i="5"/>
  <c r="L39" i="6"/>
  <c r="L62" i="6" s="1"/>
  <c r="N32" i="5"/>
  <c r="N32" i="6"/>
  <c r="O15" i="6"/>
  <c r="L39" i="5" l="1"/>
  <c r="L62" i="5" s="1"/>
  <c r="M34" i="5"/>
  <c r="M47" i="5" s="1"/>
  <c r="M48" i="5" s="1"/>
  <c r="M49" i="5" s="1"/>
  <c r="M51" i="5" s="1"/>
  <c r="M52" i="5" s="1"/>
  <c r="M53" i="5" s="1"/>
  <c r="O54" i="5" s="1"/>
  <c r="O58" i="5" s="1"/>
  <c r="N27" i="6"/>
  <c r="N33" i="6" s="1"/>
  <c r="N59" i="6"/>
  <c r="N33" i="5"/>
  <c r="N38" i="5" s="1"/>
  <c r="N42" i="5" s="1"/>
  <c r="N43" i="5" s="1"/>
  <c r="N44" i="5"/>
  <c r="N57" i="5" s="1"/>
  <c r="N59" i="5" s="1"/>
  <c r="M34" i="6"/>
  <c r="M47" i="6" s="1"/>
  <c r="M48" i="6" s="1"/>
  <c r="M49" i="6" s="1"/>
  <c r="M51" i="6" s="1"/>
  <c r="M52" i="6" s="1"/>
  <c r="M53" i="6" s="1"/>
  <c r="O54" i="6" s="1"/>
  <c r="O58" i="6" s="1"/>
  <c r="Q41" i="12"/>
  <c r="R51" i="12"/>
  <c r="M39" i="6"/>
  <c r="M62" i="6" s="1"/>
  <c r="M39" i="5"/>
  <c r="M62" i="5" s="1"/>
  <c r="P15" i="6"/>
  <c r="O32" i="6"/>
  <c r="P15" i="5"/>
  <c r="O32" i="5"/>
  <c r="S32" i="12"/>
  <c r="O44" i="5"/>
  <c r="O57" i="5" s="1"/>
  <c r="U29" i="12"/>
  <c r="R36" i="12"/>
  <c r="S49" i="12" s="1"/>
  <c r="O44" i="6"/>
  <c r="O57" i="6" s="1"/>
  <c r="N38" i="6" l="1"/>
  <c r="N42" i="6" s="1"/>
  <c r="N43" i="6" s="1"/>
  <c r="P44" i="6" s="1"/>
  <c r="P57" i="6" s="1"/>
  <c r="N34" i="6"/>
  <c r="N47" i="6" s="1"/>
  <c r="N48" i="6" s="1"/>
  <c r="N49" i="6" s="1"/>
  <c r="N51" i="6" s="1"/>
  <c r="N52" i="6" s="1"/>
  <c r="N53" i="6" s="1"/>
  <c r="P54" i="6" s="1"/>
  <c r="P58" i="6" s="1"/>
  <c r="N34" i="5"/>
  <c r="N47" i="5" s="1"/>
  <c r="N48" i="5" s="1"/>
  <c r="N49" i="5" s="1"/>
  <c r="N51" i="5" s="1"/>
  <c r="N52" i="5" s="1"/>
  <c r="N53" i="5" s="1"/>
  <c r="P54" i="5" s="1"/>
  <c r="P58" i="5" s="1"/>
  <c r="O59" i="5"/>
  <c r="O27" i="5"/>
  <c r="O33" i="5" s="1"/>
  <c r="O38" i="5" s="1"/>
  <c r="P67" i="5" s="1"/>
  <c r="N39" i="5"/>
  <c r="N62" i="5" s="1"/>
  <c r="O59" i="6"/>
  <c r="O27" i="6"/>
  <c r="O33" i="6" s="1"/>
  <c r="O34" i="6" s="1"/>
  <c r="T32" i="12"/>
  <c r="S36" i="12"/>
  <c r="T49" i="12" s="1"/>
  <c r="R41" i="12"/>
  <c r="P32" i="5"/>
  <c r="S51" i="12"/>
  <c r="N39" i="6"/>
  <c r="N62" i="6" s="1"/>
  <c r="P44" i="5"/>
  <c r="P57" i="5" s="1"/>
  <c r="P32" i="6"/>
  <c r="O47" i="6" l="1"/>
  <c r="O48" i="6" s="1"/>
  <c r="O49" i="6" s="1"/>
  <c r="O51" i="6" s="1"/>
  <c r="P68" i="6" s="1"/>
  <c r="P27" i="5"/>
  <c r="P33" i="5" s="1"/>
  <c r="P38" i="5" s="1"/>
  <c r="P72" i="5" s="1"/>
  <c r="P59" i="5"/>
  <c r="P27" i="6"/>
  <c r="P33" i="6" s="1"/>
  <c r="P38" i="6" s="1"/>
  <c r="P72" i="6" s="1"/>
  <c r="P59" i="6"/>
  <c r="O38" i="6"/>
  <c r="P67" i="6" s="1"/>
  <c r="O34" i="5"/>
  <c r="O47" i="5" s="1"/>
  <c r="O48" i="5" s="1"/>
  <c r="O49" i="5" s="1"/>
  <c r="O51" i="5" s="1"/>
  <c r="P68" i="5" s="1"/>
  <c r="P69" i="5" s="1"/>
  <c r="O39" i="5"/>
  <c r="O62" i="5" s="1"/>
  <c r="T36" i="12"/>
  <c r="S41" i="12"/>
  <c r="U32" i="12"/>
  <c r="T51" i="12"/>
  <c r="P69" i="6" l="1"/>
  <c r="O39" i="6"/>
  <c r="O62" i="6" s="1"/>
  <c r="P34" i="6"/>
  <c r="P47" i="6" s="1"/>
  <c r="P48" i="6" s="1"/>
  <c r="P49" i="6" s="1"/>
  <c r="P51" i="6" s="1"/>
  <c r="P73" i="6" s="1"/>
  <c r="P74" i="6" s="1"/>
  <c r="P76" i="6" s="1"/>
  <c r="P12" i="7" s="1"/>
  <c r="P39" i="6"/>
  <c r="P62" i="6" s="1"/>
  <c r="P34" i="5"/>
  <c r="P47" i="5" s="1"/>
  <c r="P48" i="5" s="1"/>
  <c r="P49" i="5" s="1"/>
  <c r="P51" i="5" s="1"/>
  <c r="P73" i="5" s="1"/>
  <c r="P74" i="5" s="1"/>
  <c r="P76" i="5" s="1"/>
  <c r="P39" i="5"/>
  <c r="P62" i="5" s="1"/>
  <c r="U51" i="12"/>
  <c r="U49" i="12"/>
  <c r="U36" i="12"/>
  <c r="U41" i="12" s="1"/>
  <c r="T41" i="12"/>
  <c r="P10" i="7" l="1"/>
</calcChain>
</file>

<file path=xl/sharedStrings.xml><?xml version="1.0" encoding="utf-8"?>
<sst xmlns="http://schemas.openxmlformats.org/spreadsheetml/2006/main" count="562" uniqueCount="247">
  <si>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</si>
  <si>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</si>
  <si>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</si>
  <si>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</si>
  <si>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</si>
  <si>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</si>
  <si>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</si>
  <si>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</si>
  <si>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</si>
  <si>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</si>
  <si>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</si>
  <si>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</si>
  <si>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</si>
  <si>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</si>
  <si>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</si>
  <si>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</si>
  <si>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</si>
  <si>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</si>
  <si>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</si>
  <si>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</si>
  <si>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</si>
  <si>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</si>
  <si>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</si>
  <si>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</si>
  <si>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</si>
  <si>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</si>
  <si>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</si>
  <si>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</si>
  <si>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</si>
  <si>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</si>
  <si>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</si>
  <si>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</si>
  <si>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</si>
  <si>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</si>
  <si>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</si>
  <si>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</si>
  <si>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</si>
  <si>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</si>
  <si>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</si>
  <si>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</si>
  <si>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</si>
  <si>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</si>
  <si>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</si>
  <si>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</si>
  <si>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</si>
  <si>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</si>
  <si>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</si>
  <si>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</si>
  <si>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</si>
  <si>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</si>
  <si>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</si>
  <si>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</si>
  <si>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</si>
  <si>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</si>
  <si>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</si>
  <si>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</si>
  <si>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</si>
  <si>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</si>
  <si>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</si>
  <si>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</si>
  <si>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</si>
  <si>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</si>
  <si>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</si>
  <si>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</si>
  <si>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</si>
  <si>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</si>
  <si>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</si>
  <si>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</si>
  <si>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</si>
  <si>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</si>
  <si>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</si>
  <si>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</si>
  <si>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</si>
  <si>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</si>
  <si>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</si>
  <si>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</si>
  <si>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</si>
  <si>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</si>
  <si>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</si>
  <si>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</si>
  <si>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</si>
  <si>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</si>
  <si>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</si>
  <si>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</si>
  <si>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</si>
  <si>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</si>
  <si>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</si>
  <si>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</si>
  <si>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</si>
  <si>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</si>
  <si>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</si>
  <si>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</si>
  <si>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</si>
  <si>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</si>
  <si>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</si>
  <si>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</si>
  <si>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</si>
  <si>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</si>
  <si>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</si>
  <si>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</si>
  <si>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</si>
  <si>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</si>
  <si>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</si>
  <si>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</si>
  <si>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</si>
  <si>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</si>
  <si>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</si>
  <si>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</si>
  <si>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</si>
  <si>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</si>
  <si>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</si>
  <si>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</si>
  <si>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</si>
  <si>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</si>
  <si>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</si>
  <si>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</si>
  <si>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</si>
  <si>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</si>
  <si>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</si>
  <si>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</si>
  <si>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</si>
  <si>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</si>
  <si>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</si>
  <si>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</si>
  <si>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</si>
  <si>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</si>
  <si>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</si>
  <si>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</si>
  <si>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</si>
  <si>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</si>
  <si>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</si>
  <si>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</si>
  <si>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</si>
  <si>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</si>
  <si>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</si>
  <si>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</si>
  <si>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</si>
  <si>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</si>
  <si>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</si>
  <si>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</si>
  <si>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</si>
  <si>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</si>
  <si>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</si>
  <si>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</si>
  <si>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</si>
  <si>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</si>
  <si>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</si>
  <si>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</si>
  <si>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</si>
  <si>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</si>
  <si>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</si>
  <si>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</si>
  <si>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</si>
  <si>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</si>
  <si>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</si>
  <si>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</si>
  <si>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</si>
  <si>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</si>
  <si>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</si>
  <si>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</si>
  <si>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</si>
  <si>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</si>
  <si>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</si>
  <si>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</si>
  <si>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</si>
  <si>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</si>
  <si>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</si>
  <si>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</si>
  <si>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</si>
  <si>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</si>
  <si>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</si>
  <si>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</si>
  <si>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</si>
  <si>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</si>
  <si>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</si>
  <si>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</si>
  <si>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</si>
  <si>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</si>
  <si>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</si>
  <si>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</si>
  <si>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</si>
  <si>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</si>
  <si>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</si>
  <si>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</si>
  <si>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</si>
  <si>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</si>
  <si>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</si>
  <si>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</si>
  <si>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</si>
  <si>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</si>
  <si>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</si>
  <si>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</si>
  <si>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</si>
  <si>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</si>
  <si>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</si>
  <si>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</si>
  <si>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</si>
  <si>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</si>
  <si>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</si>
  <si>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</si>
  <si>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</si>
  <si>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</si>
  <si>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</si>
  <si>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</si>
  <si>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</si>
  <si>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</si>
  <si>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</si>
  <si>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</si>
  <si>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</si>
  <si>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</si>
  <si>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</si>
  <si>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</si>
  <si>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</si>
  <si>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</si>
  <si>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</si>
  <si>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</si>
  <si>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</si>
  <si>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</si>
  <si>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</si>
  <si>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</si>
  <si>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</si>
  <si>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</si>
  <si>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</si>
  <si>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</si>
  <si>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</si>
  <si>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</si>
  <si>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</si>
  <si>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</si>
  <si>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</si>
  <si>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</si>
  <si>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</si>
  <si>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</si>
  <si>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</si>
  <si>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</si>
  <si>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</si>
  <si>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</si>
  <si>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</si>
  <si>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</si>
  <si>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</si>
  <si>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</si>
  <si>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</si>
  <si>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</si>
  <si>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</si>
  <si>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</si>
  <si>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</si>
  <si>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NES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</si>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</sst>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</numFmts>
  <fonts count="86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  <xf numFmtId="0" fontId="85" fillId="0" borderId="0"/>
  </cellStyleXfs>
  <cellXfs count="173">
    <xf numFmtId="0" fontId="0" fillId="0" borderId="0" xfId="0"/>
    <xf numFmtId="0" fontId="38" fillId="44" borderId="17" xfId="0" applyFont="1" applyFill="1" applyBorder="1" applyAlignment="1" applyProtection="1">
      <alignment horizontal="left" vertical="center"/>
    </xf>
    <xf numFmtId="0" fontId="12" fillId="0" borderId="0" xfId="45" applyFont="1"/>
    <xf numFmtId="0" fontId="34" fillId="0" borderId="0" xfId="0" applyFont="1"/>
    <xf numFmtId="1" fontId="39" fillId="0" borderId="17" xfId="0" applyNumberFormat="1" applyFont="1" applyFill="1" applyBorder="1" applyAlignment="1" applyProtection="1">
      <alignment horizontal="center"/>
    </xf>
    <xf numFmtId="1" fontId="40" fillId="43" borderId="17" xfId="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34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4" fillId="0" borderId="0" xfId="0" applyFont="1" applyBorder="1"/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left" indent="2"/>
    </xf>
    <xf numFmtId="0" fontId="0" fillId="0" borderId="0" xfId="0" applyFont="1"/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0" fontId="7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/>
    <xf numFmtId="165" fontId="15" fillId="33" borderId="14" xfId="46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8" fillId="0" borderId="0" xfId="72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45" applyFont="1" applyFill="1" applyBorder="1"/>
    <xf numFmtId="0" fontId="77" fillId="44" borderId="17" xfId="0" applyFont="1" applyFill="1" applyBorder="1" applyAlignment="1" applyProtection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0" fillId="0" borderId="0" xfId="0" applyNumberFormat="1"/>
    <xf numFmtId="0" fontId="15" fillId="0" borderId="0" xfId="159" applyFont="1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ont="1" applyFill="1" applyBorder="1"/>
    <xf numFmtId="0" fontId="15" fillId="49" borderId="21" xfId="159" applyFont="1" applyFill="1" applyBorder="1" applyAlignment="1"/>
    <xf numFmtId="0" fontId="42" fillId="49" borderId="21" xfId="159" applyFont="1" applyFill="1" applyBorder="1"/>
    <xf numFmtId="0" fontId="15" fillId="0" borderId="0" xfId="159" applyFont="1" applyFill="1" applyBorder="1" applyAlignment="1" applyProtection="1">
      <alignment vertical="center"/>
    </xf>
    <xf numFmtId="0" fontId="50" fillId="0" borderId="0" xfId="159" applyFont="1" applyFill="1" applyBorder="1" applyAlignment="1" applyProtection="1">
      <alignment vertical="center"/>
    </xf>
    <xf numFmtId="167" fontId="15" fillId="0" borderId="0" xfId="159" applyNumberFormat="1" applyFont="1" applyFill="1" applyBorder="1" applyAlignment="1" applyProtection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Font="1" applyFill="1" applyAlignment="1" applyProtection="1">
      <alignment vertical="center"/>
    </xf>
    <xf numFmtId="0" fontId="15" fillId="0" borderId="0" xfId="159" applyFont="1" applyFill="1" applyBorder="1" applyAlignment="1" applyProtection="1">
      <alignment horizontal="left" vertical="center" indent="1"/>
    </xf>
    <xf numFmtId="167" fontId="15" fillId="0" borderId="0" xfId="159" applyNumberFormat="1" applyFont="1" applyFill="1" applyBorder="1" applyAlignment="1" applyProtection="1">
      <alignment horizontal="left" vertical="center"/>
    </xf>
    <xf numFmtId="167" fontId="15" fillId="47" borderId="37" xfId="159" applyNumberFormat="1" applyFont="1" applyFill="1" applyBorder="1" applyAlignment="1" applyProtection="1">
      <alignment horizontal="right" vertical="center"/>
      <protection locked="0"/>
    </xf>
    <xf numFmtId="0" fontId="15" fillId="0" borderId="0" xfId="160" applyFont="1" applyFill="1" applyBorder="1" applyAlignment="1" applyProtection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Fill="1" applyBorder="1" applyAlignment="1" applyProtection="1">
      <alignment vertical="center"/>
    </xf>
    <xf numFmtId="168" fontId="15" fillId="0" borderId="38" xfId="159" applyNumberFormat="1" applyFont="1" applyFill="1" applyBorder="1" applyAlignment="1">
      <alignment horizontal="right" vertical="center"/>
    </xf>
    <xf numFmtId="166" fontId="15" fillId="0" borderId="38" xfId="159" applyNumberFormat="1" applyFont="1" applyFill="1" applyBorder="1" applyAlignment="1">
      <alignment horizontal="right" vertical="center"/>
    </xf>
    <xf numFmtId="0" fontId="15" fillId="0" borderId="0" xfId="159" applyFont="1" applyFill="1" applyAlignment="1">
      <alignment horizontal="left" vertical="center" indent="1"/>
    </xf>
    <xf numFmtId="0" fontId="15" fillId="0" borderId="0" xfId="159" applyFont="1" applyFill="1" applyAlignment="1">
      <alignment shrinkToFit="1"/>
    </xf>
    <xf numFmtId="0" fontId="15" fillId="0" borderId="0" xfId="159" applyFont="1" applyFill="1" applyBorder="1" applyAlignment="1">
      <alignment horizontal="left" vertical="center"/>
    </xf>
    <xf numFmtId="168" fontId="15" fillId="0" borderId="0" xfId="159" applyNumberFormat="1" applyFont="1" applyAlignment="1">
      <alignment horizontal="right"/>
    </xf>
    <xf numFmtId="164" fontId="15" fillId="46" borderId="37" xfId="159" applyNumberFormat="1" applyFont="1" applyFill="1" applyBorder="1" applyAlignment="1">
      <alignment horizontal="right" vertical="center"/>
    </xf>
    <xf numFmtId="165" fontId="15" fillId="69" borderId="37" xfId="159" applyNumberFormat="1" applyFont="1" applyFill="1" applyBorder="1" applyAlignment="1">
      <alignment horizontal="right"/>
    </xf>
    <xf numFmtId="0" fontId="15" fillId="0" borderId="0" xfId="159" applyFont="1" applyFill="1" applyAlignment="1" applyProtection="1">
      <alignment horizontal="right" vertical="center"/>
    </xf>
    <xf numFmtId="0" fontId="42" fillId="0" borderId="0" xfId="159" applyFont="1" applyFill="1" applyBorder="1" applyAlignment="1" applyProtection="1">
      <alignment horizontal="left" vertical="center"/>
    </xf>
    <xf numFmtId="0" fontId="15" fillId="0" borderId="0" xfId="159" applyFont="1" applyFill="1" applyBorder="1" applyAlignment="1" applyProtection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ont="1" applyFill="1" applyBorder="1" applyAlignment="1" applyProtection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right" vertical="center"/>
      <protection hidden="1"/>
    </xf>
    <xf numFmtId="0" fontId="42" fillId="0" borderId="0" xfId="159" applyFont="1" applyFill="1" applyAlignment="1">
      <alignment horizontal="left" vertical="center"/>
    </xf>
    <xf numFmtId="1" fontId="42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left" vertical="center"/>
      <protection hidden="1"/>
    </xf>
    <xf numFmtId="1" fontId="39" fillId="0" borderId="17" xfId="160" applyNumberFormat="1" applyFont="1" applyFill="1" applyBorder="1" applyAlignment="1" applyProtection="1">
      <alignment horizontal="center"/>
    </xf>
    <xf numFmtId="1" fontId="40" fillId="43" borderId="17" xfId="160" applyNumberFormat="1" applyFont="1" applyFill="1" applyBorder="1" applyAlignment="1" applyProtection="1">
      <alignment horizontal="center"/>
    </xf>
    <xf numFmtId="1" fontId="44" fillId="0" borderId="0" xfId="159" applyNumberFormat="1" applyFont="1" applyFill="1" applyBorder="1" applyAlignment="1" applyProtection="1">
      <alignment horizontal="left" vertical="center"/>
    </xf>
    <xf numFmtId="0" fontId="15" fillId="0" borderId="0" xfId="159" applyNumberFormat="1" applyFont="1" applyFill="1" applyBorder="1" applyAlignment="1">
      <alignment vertical="center"/>
    </xf>
    <xf numFmtId="0" fontId="15" fillId="0" borderId="0" xfId="159" applyNumberFormat="1" applyFont="1" applyFill="1" applyBorder="1" applyAlignment="1">
      <alignment horizontal="center" vertical="center" shrinkToFit="1"/>
    </xf>
    <xf numFmtId="0" fontId="15" fillId="0" borderId="0" xfId="159" applyNumberFormat="1" applyFont="1" applyFill="1" applyBorder="1" applyAlignment="1">
      <alignment vertical="center" shrinkToFit="1"/>
    </xf>
    <xf numFmtId="0" fontId="15" fillId="0" borderId="0" xfId="159" applyFont="1" applyFill="1" applyBorder="1"/>
    <xf numFmtId="0" fontId="15" fillId="0" borderId="0" xfId="159" applyFont="1" applyFill="1"/>
    <xf numFmtId="0" fontId="15" fillId="0" borderId="0" xfId="159" applyFont="1" applyFill="1" applyBorder="1" applyAlignment="1">
      <alignment horizontal="right" vertical="center"/>
    </xf>
    <xf numFmtId="0" fontId="15" fillId="0" borderId="0" xfId="159" applyFont="1" applyFill="1" applyBorder="1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NumberFormat="1" applyFont="1" applyFill="1" applyBorder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Border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 applyAlignment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166" fontId="2" fillId="0" borderId="0" xfId="0" applyNumberFormat="1" applyFont="1" applyFill="1"/>
    <xf numFmtId="0" fontId="2" fillId="33" borderId="14" xfId="46" applyNumberFormat="1" applyFont="1"/>
    <xf numFmtId="166" fontId="15" fillId="47" borderId="14" xfId="46" applyNumberFormat="1" applyFont="1" applyFill="1"/>
    <xf numFmtId="166" fontId="15" fillId="33" borderId="14" xfId="46" applyNumberFormat="1" applyFont="1"/>
    <xf numFmtId="169" fontId="15" fillId="33" borderId="14" xfId="166" applyNumberFormat="1" applyFont="1" applyFill="1" applyBorder="1"/>
    <xf numFmtId="168" fontId="15" fillId="0" borderId="0" xfId="159" applyNumberFormat="1" applyFont="1" applyFill="1" applyAlignment="1">
      <alignment horizontal="right"/>
    </xf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0" fontId="2" fillId="0" borderId="0" xfId="0" applyFont="1" applyFill="1"/>
    <xf numFmtId="166" fontId="2" fillId="0" borderId="0" xfId="0" applyNumberFormat="1" applyFont="1" applyBorder="1"/>
    <xf numFmtId="167" fontId="2" fillId="0" borderId="0" xfId="0" applyNumberFormat="1" applyFont="1" applyFill="1"/>
    <xf numFmtId="0" fontId="2" fillId="0" borderId="0" xfId="0" applyFont="1" applyBorder="1"/>
    <xf numFmtId="0" fontId="2" fillId="0" borderId="37" xfId="0" applyFont="1" applyFill="1" applyBorder="1"/>
    <xf numFmtId="0" fontId="2" fillId="0" borderId="37" xfId="0" applyNumberFormat="1" applyFont="1" applyFill="1" applyBorder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8" fillId="0" borderId="0" xfId="0" applyFont="1" applyFill="1"/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0" fillId="0" borderId="0" xfId="0" applyFont="1" applyFill="1"/>
    <xf numFmtId="0" fontId="0" fillId="0" borderId="0" xfId="0" applyFill="1"/>
    <xf numFmtId="0" fontId="2" fillId="0" borderId="39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Font="1" applyFill="1" applyBorder="1" applyAlignment="1" applyProtection="1">
      <alignment horizontal="right" vertical="center"/>
      <protection locked="0"/>
    </xf>
    <xf numFmtId="10" fontId="15" fillId="0" borderId="0" xfId="159" applyNumberFormat="1" applyFont="1" applyFill="1" applyAlignment="1">
      <alignment shrinkToFit="1"/>
    </xf>
    <xf numFmtId="10" fontId="15" fillId="0" borderId="0" xfId="159" applyNumberFormat="1" applyFont="1" applyFill="1" applyAlignment="1">
      <alignment horizontal="left" vertical="center"/>
    </xf>
    <xf numFmtId="0" fontId="50" fillId="0" borderId="0" xfId="159" applyFont="1" applyFill="1"/>
    <xf numFmtId="0" fontId="41" fillId="0" borderId="0" xfId="0" applyFont="1" applyFill="1" applyAlignment="1">
      <alignment horizontal="left" indent="1"/>
    </xf>
    <xf numFmtId="0" fontId="2" fillId="71" borderId="0" xfId="0" applyFont="1" applyFill="1" applyBorder="1" applyAlignment="1">
      <alignment horizontal="left" vertical="top"/>
    </xf>
    <xf numFmtId="0" fontId="2" fillId="71" borderId="0" xfId="0" applyFont="1" applyFill="1" applyAlignment="1">
      <alignment horizontal="left" vertical="top" wrapText="1"/>
    </xf>
    <xf numFmtId="166" fontId="2" fillId="71" borderId="0" xfId="0" applyNumberFormat="1" applyFont="1" applyFill="1"/>
    <xf numFmtId="166" fontId="2" fillId="71" borderId="0" xfId="0" applyNumberFormat="1" applyFont="1" applyFill="1" applyBorder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85" fillId="0" borderId="0" xfId="167"/>
  </cellXfs>
  <cellStyles count="168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4"/>
    <cellStyle name="20% - Accent1" xfId="17" builtinId="30" customBuiltin="1"/>
    <cellStyle name="20% - Accent1 2" xfId="85"/>
    <cellStyle name="20% - Accent2" xfId="21" builtinId="34" customBuiltin="1"/>
    <cellStyle name="20% - Accent2 2" xfId="86"/>
    <cellStyle name="20% - Accent3" xfId="25" builtinId="38" customBuiltin="1"/>
    <cellStyle name="20% - Accent3 2" xfId="87"/>
    <cellStyle name="20% - Accent4" xfId="29" builtinId="42" customBuiltin="1"/>
    <cellStyle name="20% - Accent4 2" xfId="88"/>
    <cellStyle name="20% - Accent5" xfId="33" builtinId="46" customBuiltin="1"/>
    <cellStyle name="20% - Accent5 2" xfId="89"/>
    <cellStyle name="20% - Accent6" xfId="37" builtinId="50" customBuiltin="1"/>
    <cellStyle name="20% - Accent6 2" xfId="90"/>
    <cellStyle name="40% - Accent1" xfId="18" builtinId="31" customBuiltin="1"/>
    <cellStyle name="40% - Accent1 2" xfId="91"/>
    <cellStyle name="40% - Accent2" xfId="22" builtinId="35" customBuiltin="1"/>
    <cellStyle name="40% - Accent2 2" xfId="92"/>
    <cellStyle name="40% - Accent3" xfId="26" builtinId="39" customBuiltin="1"/>
    <cellStyle name="40% - Accent3 2" xfId="93"/>
    <cellStyle name="40% - Accent4" xfId="30" builtinId="43" customBuiltin="1"/>
    <cellStyle name="40% - Accent4 2" xfId="94"/>
    <cellStyle name="40% - Accent5" xfId="34" builtinId="47" customBuiltin="1"/>
    <cellStyle name="40% - Accent5 2" xfId="95"/>
    <cellStyle name="40% - Accent6" xfId="38" builtinId="51" customBuiltin="1"/>
    <cellStyle name="40% - Accent6 2" xfId="96"/>
    <cellStyle name="60% - Accent1" xfId="19" builtinId="32" customBuiltin="1"/>
    <cellStyle name="60% - Accent1 2" xfId="97"/>
    <cellStyle name="60% - Accent2" xfId="23" builtinId="36" customBuiltin="1"/>
    <cellStyle name="60% - Accent2 2" xfId="98"/>
    <cellStyle name="60% - Accent3" xfId="27" builtinId="40" customBuiltin="1"/>
    <cellStyle name="60% - Accent3 2" xfId="99"/>
    <cellStyle name="60% - Accent4" xfId="31" builtinId="44" customBuiltin="1"/>
    <cellStyle name="60% - Accent4 2" xfId="100"/>
    <cellStyle name="60% - Accent5" xfId="35" builtinId="48" customBuiltin="1"/>
    <cellStyle name="60% - Accent5 2" xfId="101"/>
    <cellStyle name="60% - Accent6" xfId="39" builtinId="52" customBuiltin="1"/>
    <cellStyle name="60% - Accent6 2" xfId="102"/>
    <cellStyle name="Accent1" xfId="16" builtinId="29" customBuiltin="1"/>
    <cellStyle name="Accent1 2" xfId="103"/>
    <cellStyle name="Accent2" xfId="20" builtinId="33" customBuiltin="1"/>
    <cellStyle name="Accent2 2" xfId="104"/>
    <cellStyle name="Accent3" xfId="24" builtinId="37" customBuiltin="1"/>
    <cellStyle name="Accent3 2" xfId="105"/>
    <cellStyle name="Accent4" xfId="28" builtinId="41" customBuiltin="1"/>
    <cellStyle name="Accent4 2" xfId="106"/>
    <cellStyle name="Accent5" xfId="32" builtinId="45" customBuiltin="1"/>
    <cellStyle name="Accent5 2" xfId="107"/>
    <cellStyle name="Accent6" xfId="36" builtinId="49" customBuiltin="1"/>
    <cellStyle name="Accent6 2" xfId="108"/>
    <cellStyle name="Att1" xfId="109"/>
    <cellStyle name="Att1 2" xfId="110"/>
    <cellStyle name="Att1 3" xfId="111"/>
    <cellStyle name="Bad" xfId="6" builtinId="27" customBuiltin="1"/>
    <cellStyle name="Bad 2" xfId="112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113"/>
    <cellStyle name="boldbluetxt_green" xfId="114"/>
    <cellStyle name="box" xfId="115"/>
    <cellStyle name="box 2" xfId="116"/>
    <cellStyle name="box 3" xfId="117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18"/>
    <cellStyle name="Check Cell" xfId="12" builtinId="23" customBuiltin="1"/>
    <cellStyle name="Check Cell 2" xfId="119"/>
    <cellStyle name="Comma 2" xfId="75"/>
    <cellStyle name="Comma 3" xfId="76"/>
    <cellStyle name="Comma 3 2" xfId="120"/>
    <cellStyle name="Comma 3 2 2" xfId="121"/>
    <cellStyle name="Comma 3 3" xfId="122"/>
    <cellStyle name="Comma 4" xfId="123"/>
    <cellStyle name="Comma 5" xfId="77"/>
    <cellStyle name="Comma 6" xfId="124"/>
    <cellStyle name="Comma 7" xfId="125"/>
    <cellStyle name="Error" xfId="61"/>
    <cellStyle name="Explanatory Text" xfId="14" builtinId="53" customBuiltin="1"/>
    <cellStyle name="Explanatory Text 2" xfId="126"/>
    <cellStyle name="False" xfId="62"/>
    <cellStyle name="Fountain Col Header" xfId="127"/>
    <cellStyle name="Fountain Error" xfId="128"/>
    <cellStyle name="Fountain Input" xfId="129"/>
    <cellStyle name="Fountain Input 2" xfId="161"/>
    <cellStyle name="Fountain Table Header" xfId="130"/>
    <cellStyle name="Fountain Text" xfId="131"/>
    <cellStyle name="Fountain Text 2" xfId="162"/>
    <cellStyle name="Fountain Text 4" xfId="163"/>
    <cellStyle name="Good" xfId="5" builtinId="26" customBuiltin="1"/>
    <cellStyle name="Good 2" xfId="132"/>
    <cellStyle name="Header" xfId="133"/>
    <cellStyle name="Header3rdlevel" xfId="134"/>
    <cellStyle name="Header3rdlevel 2" xfId="135"/>
    <cellStyle name="Header3rdlevel 3" xfId="136"/>
    <cellStyle name="Heading 1" xfId="1" builtinId="16" customBuiltin="1"/>
    <cellStyle name="Heading 1 2" xfId="137"/>
    <cellStyle name="Heading 2" xfId="2" builtinId="17" customBuiltin="1"/>
    <cellStyle name="Heading 2 2" xfId="138"/>
    <cellStyle name="Heading 3" xfId="3" builtinId="18" customBuiltin="1"/>
    <cellStyle name="Heading 3 2" xfId="139"/>
    <cellStyle name="Heading 4" xfId="4" builtinId="19" customBuiltin="1"/>
    <cellStyle name="Heading 4 2" xfId="140"/>
    <cellStyle name="Hyperlink 2" xfId="141"/>
    <cellStyle name="Hyperlink 3" xfId="142"/>
    <cellStyle name="In Development" xfId="63"/>
    <cellStyle name="Input" xfId="8" builtinId="20" customBuiltin="1"/>
    <cellStyle name="Input 2" xfId="143"/>
    <cellStyle name="Linked Cell" xfId="11" builtinId="24" customBuiltin="1"/>
    <cellStyle name="Linked Cell 2" xfId="144"/>
    <cellStyle name="Neutral" xfId="7" builtinId="28" customBuiltin="1"/>
    <cellStyle name="Neutral 2" xfId="145"/>
    <cellStyle name="NJS" xfId="146"/>
    <cellStyle name="No Error" xfId="64"/>
    <cellStyle name="Normal" xfId="0" builtinId="0" customBuiltin="1"/>
    <cellStyle name="Normal 10" xfId="167"/>
    <cellStyle name="Normal 2" xfId="65"/>
    <cellStyle name="Normal 2 2" xfId="66"/>
    <cellStyle name="Normal 2 3" xfId="164"/>
    <cellStyle name="Normal 3" xfId="67"/>
    <cellStyle name="Normal 3 2" xfId="147"/>
    <cellStyle name="Normal 4" xfId="72"/>
    <cellStyle name="Normal 4 2" xfId="78"/>
    <cellStyle name="Normal 4 2 2" xfId="159"/>
    <cellStyle name="Normal 5" xfId="79"/>
    <cellStyle name="Normal 5 2" xfId="148"/>
    <cellStyle name="Normal 6" xfId="80"/>
    <cellStyle name="Normal 7" xfId="149"/>
    <cellStyle name="Normal 8" xfId="150"/>
    <cellStyle name="Normal 9" xfId="160"/>
    <cellStyle name="Note 2" xfId="68"/>
    <cellStyle name="Output" xfId="9" builtinId="21" customBuiltin="1"/>
    <cellStyle name="Output 2" xfId="151"/>
    <cellStyle name="Percent" xfId="166" builtinId="5"/>
    <cellStyle name="Percent 2" xfId="73"/>
    <cellStyle name="Percent 2 2" xfId="152"/>
    <cellStyle name="Percent 3" xfId="81"/>
    <cellStyle name="Percent 4" xfId="83"/>
    <cellStyle name="Percent 4 2" xfId="82"/>
    <cellStyle name="Percent 5" xfId="153"/>
    <cellStyle name="Style 1" xfId="69"/>
    <cellStyle name="Title 2" xfId="154"/>
    <cellStyle name="Total" xfId="15" builtinId="25" customBuiltin="1"/>
    <cellStyle name="Total 2" xfId="155"/>
    <cellStyle name="True" xfId="70"/>
    <cellStyle name="True 2" xfId="165"/>
    <cellStyle name="Unique Formula" xfId="71"/>
    <cellStyle name="Warning Text" xfId="13" builtinId="11" customBuiltin="1"/>
    <cellStyle name="Warning Text 2" xfId="156"/>
    <cellStyle name="white_text_on_blue" xfId="157"/>
    <cellStyle name="year_formats_pink" xfId="158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XFC3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ColWidth="0" defaultRowHeight="12.75"/>
  <cols>
    <col min="1" max="2" width="9.140625" customWidth="1"/>
    <col min="3" max="4" width="50.5703125" style="112" customWidth="1"/>
    <col min="5" max="5" width="15.85546875" style="112" customWidth="1"/>
    <col min="6" max="6" width="14.5703125" style="112" customWidth="1"/>
    <col min="7" max="7" width="0" hidden="1" customWidth="1"/>
    <col min="8" max="16383" width="9.140625" hidden="1"/>
    <col min="16384" max="16384" width="9" hidden="1" customWidth="1"/>
  </cols>
  <sheetData>
    <row r="1" spans="1:6" s="15" customFormat="1" ht="33.75">
      <c r="A1" s="28" t="s">
        <v>0</v>
      </c>
      <c r="B1" s="28"/>
      <c r="C1" s="28"/>
      <c r="D1" s="28"/>
      <c r="E1" s="28"/>
      <c r="F1" s="28"/>
    </row>
    <row r="2" spans="1:6">
      <c r="A2" s="16"/>
      <c r="B2" s="16"/>
      <c r="C2" s="123"/>
      <c r="D2" s="123"/>
      <c r="E2" s="123"/>
      <c r="F2" s="123"/>
    </row>
    <row r="3" spans="1:6" ht="15.75">
      <c r="A3" s="16"/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</row>
    <row r="4" spans="1:6">
      <c r="A4" s="16"/>
      <c r="B4" s="16"/>
      <c r="C4" s="123"/>
      <c r="D4" s="123"/>
      <c r="E4" s="123"/>
      <c r="F4" s="123"/>
    </row>
    <row r="5" spans="1:6" ht="129.75" customHeight="1">
      <c r="A5" s="16"/>
      <c r="B5" s="116">
        <v>1</v>
      </c>
      <c r="C5" s="117" t="s">
        <v>6</v>
      </c>
      <c r="D5" s="117" t="s">
        <v>7</v>
      </c>
      <c r="E5" s="117" t="s">
        <v>8</v>
      </c>
      <c r="F5" s="118" t="s">
        <v>9</v>
      </c>
    </row>
    <row r="6" spans="1:6" ht="124.5" customHeight="1">
      <c r="A6" s="16"/>
      <c r="B6" s="119">
        <v>2</v>
      </c>
      <c r="C6" s="114" t="s">
        <v>10</v>
      </c>
      <c r="D6" s="114" t="s">
        <v>11</v>
      </c>
      <c r="E6" s="114" t="s">
        <v>8</v>
      </c>
      <c r="F6" s="120" t="s">
        <v>12</v>
      </c>
    </row>
    <row r="7" spans="1:6" ht="72.75" customHeight="1">
      <c r="A7" s="16"/>
      <c r="B7" s="119">
        <v>3</v>
      </c>
      <c r="C7" s="114" t="s">
        <v>13</v>
      </c>
      <c r="D7" s="114" t="s">
        <v>14</v>
      </c>
      <c r="E7" s="114" t="s">
        <v>8</v>
      </c>
      <c r="F7" s="121" t="s">
        <v>15</v>
      </c>
    </row>
    <row r="8" spans="1:6" ht="108.75" customHeight="1">
      <c r="A8" s="16"/>
      <c r="B8" s="119">
        <v>4</v>
      </c>
      <c r="C8" s="115" t="s">
        <v>16</v>
      </c>
      <c r="D8" s="114" t="s">
        <v>17</v>
      </c>
      <c r="E8" s="114" t="s">
        <v>8</v>
      </c>
      <c r="F8" s="121" t="s">
        <v>15</v>
      </c>
    </row>
    <row r="9" spans="1:6" ht="38.25">
      <c r="A9" s="16"/>
      <c r="B9" s="155">
        <v>5</v>
      </c>
      <c r="C9" s="156" t="s">
        <v>18</v>
      </c>
      <c r="D9" s="157" t="s">
        <v>19</v>
      </c>
      <c r="E9" s="157" t="s">
        <v>20</v>
      </c>
      <c r="F9" s="158" t="s">
        <v>21</v>
      </c>
    </row>
    <row r="10" spans="1:6" ht="25.5">
      <c r="A10" s="16"/>
      <c r="B10" s="155">
        <v>6</v>
      </c>
      <c r="C10" s="156" t="s">
        <v>22</v>
      </c>
      <c r="D10" s="157" t="s">
        <v>23</v>
      </c>
      <c r="E10" s="157" t="s">
        <v>24</v>
      </c>
      <c r="F10" s="159" t="s">
        <v>25</v>
      </c>
    </row>
    <row r="11" spans="1:6" s="124" customFormat="1" ht="25.5">
      <c r="A11" s="16"/>
      <c r="B11" s="155">
        <v>7</v>
      </c>
      <c r="C11" s="157" t="s">
        <v>26</v>
      </c>
      <c r="D11" s="157" t="s">
        <v>27</v>
      </c>
      <c r="E11" s="156" t="s">
        <v>28</v>
      </c>
      <c r="F11" s="157" t="s">
        <v>29</v>
      </c>
    </row>
    <row r="12" spans="1:6" s="154" customFormat="1" ht="63.75">
      <c r="A12" s="16"/>
      <c r="B12" s="157">
        <v>8</v>
      </c>
      <c r="C12" s="156" t="s">
        <v>30</v>
      </c>
      <c r="D12" s="156" t="s">
        <v>31</v>
      </c>
      <c r="E12" s="156" t="s">
        <v>32</v>
      </c>
      <c r="F12" s="156" t="s">
        <v>33</v>
      </c>
    </row>
    <row r="13" spans="1:6" s="154" customFormat="1" ht="25.5">
      <c r="A13" s="16"/>
      <c r="B13" s="157">
        <v>9</v>
      </c>
      <c r="C13" s="156" t="s">
        <v>34</v>
      </c>
      <c r="D13" s="156" t="s">
        <v>35</v>
      </c>
      <c r="E13" s="156" t="s">
        <v>28</v>
      </c>
      <c r="F13" s="156" t="s">
        <v>36</v>
      </c>
    </row>
    <row r="14" spans="1:6" s="154" customFormat="1" ht="38.25">
      <c r="A14" s="16"/>
      <c r="B14" s="157">
        <v>10</v>
      </c>
      <c r="C14" s="156" t="s">
        <v>37</v>
      </c>
      <c r="D14" s="156" t="s">
        <v>38</v>
      </c>
      <c r="E14" s="156" t="s">
        <v>28</v>
      </c>
      <c r="F14" s="156" t="s">
        <v>39</v>
      </c>
    </row>
    <row r="15" spans="1:6" s="154" customFormat="1" ht="38.25">
      <c r="A15" s="16"/>
      <c r="B15" s="157">
        <v>11</v>
      </c>
      <c r="C15" s="156" t="s">
        <v>40</v>
      </c>
      <c r="D15" s="156" t="s">
        <v>41</v>
      </c>
      <c r="E15" s="156" t="s">
        <v>42</v>
      </c>
      <c r="F15" s="156" t="s">
        <v>43</v>
      </c>
    </row>
    <row r="16" spans="1:6" s="154" customFormat="1">
      <c r="A16" s="140"/>
      <c r="B16" s="170">
        <v>12</v>
      </c>
      <c r="C16" s="171" t="s">
        <v>44</v>
      </c>
      <c r="D16" s="171" t="s">
        <v>45</v>
      </c>
      <c r="E16" s="170" t="s">
        <v>46</v>
      </c>
      <c r="F16" s="170" t="s">
        <v>47</v>
      </c>
    </row>
    <row r="17" spans="1:6" s="154" customFormat="1">
      <c r="A17" s="140"/>
      <c r="B17" s="170">
        <v>13</v>
      </c>
      <c r="C17" s="171" t="s">
        <v>48</v>
      </c>
      <c r="D17" s="171" t="s">
        <v>49</v>
      </c>
      <c r="E17" s="170" t="s">
        <v>46</v>
      </c>
      <c r="F17" s="170" t="s">
        <v>50</v>
      </c>
    </row>
    <row r="18" spans="1:6" s="154" customFormat="1" ht="25.5">
      <c r="A18" s="140"/>
      <c r="B18" s="170">
        <v>14</v>
      </c>
      <c r="C18" s="171" t="s">
        <v>51</v>
      </c>
      <c r="D18" s="171" t="s">
        <v>232</v>
      </c>
      <c r="E18" s="170" t="s">
        <v>46</v>
      </c>
      <c r="F18" s="171" t="s">
        <v>52</v>
      </c>
    </row>
    <row r="19" spans="1:6" s="154" customFormat="1" ht="38.25">
      <c r="A19" s="140"/>
      <c r="B19" s="170">
        <v>15</v>
      </c>
      <c r="C19" s="171" t="s">
        <v>53</v>
      </c>
      <c r="D19" s="171" t="s">
        <v>54</v>
      </c>
      <c r="E19" s="170" t="s">
        <v>24</v>
      </c>
      <c r="F19" s="171" t="s">
        <v>55</v>
      </c>
    </row>
    <row r="20" spans="1:6" ht="76.7" customHeight="1">
      <c r="A20" s="16"/>
      <c r="B20" s="166">
        <v>16</v>
      </c>
      <c r="C20" s="167" t="s">
        <v>235</v>
      </c>
      <c r="D20" s="167" t="s">
        <v>237</v>
      </c>
      <c r="E20" s="167" t="s">
        <v>236</v>
      </c>
      <c r="F20" s="167" t="s">
        <v>238</v>
      </c>
    </row>
    <row r="21" spans="1:6">
      <c r="A21" s="16"/>
      <c r="B21" s="16"/>
      <c r="C21" s="123"/>
      <c r="D21" s="123"/>
      <c r="E21" s="123"/>
      <c r="F21" s="123"/>
    </row>
    <row r="22" spans="1:6">
      <c r="A22" s="16"/>
      <c r="B22" s="16"/>
      <c r="C22" s="123"/>
      <c r="D22" s="123"/>
      <c r="E22" s="123"/>
      <c r="F22" s="123"/>
    </row>
    <row r="23" spans="1:6">
      <c r="A23" s="16"/>
      <c r="B23" s="16"/>
      <c r="C23" s="123"/>
      <c r="D23" s="123"/>
      <c r="E23" s="123"/>
      <c r="F23" s="123"/>
    </row>
    <row r="24" spans="1:6">
      <c r="A24" s="16"/>
      <c r="B24" s="16"/>
      <c r="C24" s="123"/>
      <c r="D24" s="123"/>
      <c r="E24" s="123"/>
      <c r="F24" s="123"/>
    </row>
    <row r="25" spans="1:6">
      <c r="A25" s="16"/>
      <c r="B25" s="16"/>
      <c r="C25" s="123"/>
      <c r="D25" s="123"/>
      <c r="E25" s="123"/>
      <c r="F25" s="123"/>
    </row>
    <row r="26" spans="1:6">
      <c r="A26" s="16"/>
      <c r="B26" s="16"/>
      <c r="C26" s="123"/>
      <c r="D26" s="123"/>
      <c r="E26" s="123"/>
      <c r="F26" s="123"/>
    </row>
    <row r="27" spans="1:6">
      <c r="A27" s="16"/>
      <c r="B27" s="16"/>
      <c r="C27" s="123"/>
      <c r="D27" s="123"/>
      <c r="E27" s="123"/>
      <c r="F27" s="123"/>
    </row>
    <row r="28" spans="1:6">
      <c r="A28" s="16"/>
      <c r="B28" s="16"/>
      <c r="C28" s="123"/>
      <c r="D28" s="123"/>
      <c r="E28" s="123"/>
      <c r="F28" s="123"/>
    </row>
    <row r="29" spans="1:6">
      <c r="A29" s="16"/>
      <c r="B29" s="16"/>
      <c r="C29" s="123"/>
      <c r="D29" s="123"/>
      <c r="E29" s="123"/>
      <c r="F29" s="123"/>
    </row>
    <row r="30" spans="1:6">
      <c r="A30" s="16"/>
      <c r="B30" s="16"/>
      <c r="C30" s="123"/>
      <c r="D30" s="123"/>
      <c r="E30" s="123"/>
      <c r="F30" s="123"/>
    </row>
    <row r="31" spans="1:6">
      <c r="A31" s="16"/>
      <c r="B31" s="16"/>
      <c r="C31" s="123"/>
      <c r="D31" s="123"/>
      <c r="E31" s="123"/>
      <c r="F31" s="123"/>
    </row>
    <row r="32" spans="1:6">
      <c r="A32" s="16"/>
      <c r="B32" s="16"/>
      <c r="C32" s="123"/>
      <c r="D32" s="123"/>
      <c r="E32" s="123"/>
      <c r="F32" s="123"/>
    </row>
    <row r="33" spans="1:6">
      <c r="A33" s="16"/>
      <c r="B33" s="16"/>
      <c r="C33" s="123"/>
      <c r="D33" s="123"/>
      <c r="E33" s="123"/>
      <c r="F33" s="123"/>
    </row>
    <row r="34" spans="1:6">
      <c r="A34" s="16"/>
      <c r="B34" s="16"/>
      <c r="C34" s="123"/>
      <c r="D34" s="123"/>
      <c r="E34" s="123"/>
      <c r="F34" s="123"/>
    </row>
    <row r="35" spans="1:6">
      <c r="A35" s="16"/>
      <c r="B35" s="16"/>
      <c r="C35" s="123"/>
      <c r="D35" s="123"/>
      <c r="E35" s="123"/>
      <c r="F35" s="123"/>
    </row>
    <row r="36" spans="1:6">
      <c r="A36" s="16"/>
      <c r="B36" s="16"/>
      <c r="C36" s="123"/>
      <c r="D36" s="123"/>
      <c r="E36" s="123"/>
      <c r="F36" s="123"/>
    </row>
    <row r="37" spans="1:6">
      <c r="A37" s="16"/>
      <c r="B37" s="16"/>
      <c r="C37" s="123"/>
      <c r="D37" s="123"/>
      <c r="E37" s="123"/>
      <c r="F37" s="123"/>
    </row>
    <row r="38" spans="1:6">
      <c r="A38" s="16"/>
      <c r="B38" s="16"/>
      <c r="C38" s="123"/>
      <c r="D38" s="123"/>
      <c r="E38" s="123"/>
      <c r="F38" s="123"/>
    </row>
    <row r="39" spans="1:6">
      <c r="A39" s="16"/>
      <c r="B39" s="16"/>
      <c r="C39" s="123"/>
      <c r="D39" s="123"/>
      <c r="E39" s="123"/>
      <c r="F39" s="123"/>
    </row>
  </sheetData>
  <pageMargins left="0.17" right="0.23" top="0.74803149606299213" bottom="0.43" header="0.31496062992125984" footer="0.31496062992125984"/>
  <pageSetup paperSize="9" scale="68" orientation="portrait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E76"/>
  <sheetViews>
    <sheetView showGridLines="0" tabSelected="1" zoomScale="70" zoomScaleNormal="70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E64" sqref="E64"/>
    </sheetView>
  </sheetViews>
  <sheetFormatPr defaultColWidth="0" defaultRowHeight="12.75" zeroHeight="1"/>
  <cols>
    <col min="1" max="3" width="2.5703125" style="3" customWidth="1"/>
    <col min="4" max="4" width="9.5703125" style="3" customWidth="1"/>
    <col min="5" max="5" width="52.140625" style="3" customWidth="1"/>
    <col min="6" max="6" width="17.5703125" style="40" customWidth="1"/>
    <col min="7" max="7" width="10.5703125" style="3" customWidth="1"/>
    <col min="8" max="8" width="10.42578125" style="3" customWidth="1"/>
    <col min="9" max="11" width="10.140625" style="3" customWidth="1"/>
    <col min="12" max="18" width="10.5703125" style="3" customWidth="1"/>
    <col min="19" max="20" width="10.5703125" style="10" customWidth="1"/>
    <col min="21" max="21" width="10.5703125" style="3" customWidth="1"/>
    <col min="22" max="22" width="16.5703125" style="3" customWidth="1"/>
    <col min="23" max="23" width="9.140625" style="3" customWidth="1"/>
    <col min="24" max="31" width="0" style="3" hidden="1" customWidth="1"/>
    <col min="32" max="16384" width="9.140625" style="3" hidden="1"/>
  </cols>
  <sheetData>
    <row r="1" spans="1:23" s="2" customFormat="1" ht="33.75">
      <c r="A1" s="28"/>
      <c r="B1" s="28"/>
      <c r="C1" s="28"/>
      <c r="D1" s="28" t="s">
        <v>56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40"/>
      <c r="G2" s="16"/>
      <c r="O2" s="16"/>
      <c r="P2" s="16"/>
    </row>
    <row r="3" spans="1:23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>
      <c r="A4" s="133">
        <v>1</v>
      </c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>
      <c r="A5" s="16"/>
      <c r="B5" s="16"/>
      <c r="C5" s="16"/>
      <c r="D5" s="16"/>
      <c r="E5" s="16" t="s">
        <v>58</v>
      </c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14">
        <f t="shared" si="1"/>
        <v>2018</v>
      </c>
      <c r="P5" s="1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7" customFormat="1" ht="15">
      <c r="A8" s="134"/>
      <c r="B8" s="8"/>
      <c r="C8" s="8"/>
      <c r="D8" s="27"/>
      <c r="E8" s="135" t="s">
        <v>60</v>
      </c>
      <c r="F8" s="1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7" t="s">
        <v>61</v>
      </c>
      <c r="E10" s="16" t="s">
        <v>62</v>
      </c>
      <c r="G10" s="126" t="s">
        <v>245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0" customFormat="1">
      <c r="A11" s="16"/>
      <c r="B11" s="16"/>
      <c r="C11" s="16"/>
      <c r="D11" s="146" t="s">
        <v>61</v>
      </c>
      <c r="E11" s="140" t="s">
        <v>63</v>
      </c>
      <c r="F11" s="149"/>
      <c r="G11" s="126" t="s">
        <v>246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16"/>
      <c r="B12" s="16"/>
      <c r="C12" s="16"/>
      <c r="D12" s="146" t="s">
        <v>64</v>
      </c>
      <c r="E12" s="140" t="s">
        <v>65</v>
      </c>
      <c r="F12" s="149"/>
      <c r="G12" s="126" t="b">
        <v>1</v>
      </c>
      <c r="H12" s="16" t="s">
        <v>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15">
      <c r="A13" s="134"/>
      <c r="B13" s="8"/>
      <c r="C13" s="8"/>
      <c r="D13" s="27"/>
      <c r="E13" s="135" t="s">
        <v>66</v>
      </c>
      <c r="F13" s="13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10" customFormat="1">
      <c r="A14" s="16"/>
      <c r="B14" s="16"/>
      <c r="C14" s="16"/>
      <c r="D14" s="16"/>
      <c r="E14" s="16"/>
      <c r="F14" s="4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0" customFormat="1">
      <c r="A15" s="16"/>
      <c r="B15" s="16"/>
      <c r="C15" s="16"/>
      <c r="D15" s="16"/>
      <c r="E15" s="9" t="s">
        <v>67</v>
      </c>
      <c r="F15" s="4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0" customFormat="1">
      <c r="A16" s="16"/>
      <c r="B16" s="16"/>
      <c r="C16" s="16"/>
      <c r="D16" s="17" t="s">
        <v>68</v>
      </c>
      <c r="E16" s="18" t="s">
        <v>69</v>
      </c>
      <c r="F16" s="40"/>
      <c r="G16" s="137">
        <v>0.02</v>
      </c>
      <c r="H16" s="13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0" customFormat="1">
      <c r="A17" s="16"/>
      <c r="B17" s="16"/>
      <c r="C17" s="16"/>
      <c r="D17" s="17" t="s">
        <v>68</v>
      </c>
      <c r="E17" s="18" t="s">
        <v>71</v>
      </c>
      <c r="F17" s="40"/>
      <c r="G17" s="137">
        <v>0.03</v>
      </c>
      <c r="H17" s="13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0" customFormat="1">
      <c r="A18" s="16"/>
      <c r="B18" s="16"/>
      <c r="C18" s="16"/>
      <c r="D18" s="17"/>
      <c r="E18" s="16"/>
      <c r="F18" s="40"/>
      <c r="G18" s="16"/>
      <c r="H18" s="1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0" customFormat="1">
      <c r="A19" s="16"/>
      <c r="B19" s="16"/>
      <c r="C19" s="16"/>
      <c r="D19" s="17" t="s">
        <v>68</v>
      </c>
      <c r="E19" s="16" t="s">
        <v>73</v>
      </c>
      <c r="F19" s="40"/>
      <c r="G19" s="137">
        <v>0.03</v>
      </c>
      <c r="H19" s="13" t="s">
        <v>74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customFormat="1">
      <c r="D20" s="17" t="s">
        <v>68</v>
      </c>
      <c r="E20" s="16" t="s">
        <v>75</v>
      </c>
      <c r="F20" s="40"/>
      <c r="G20" s="137">
        <v>3.5999999999999997E-2</v>
      </c>
      <c r="H20" s="13" t="s">
        <v>76</v>
      </c>
      <c r="L20" s="43"/>
    </row>
    <row r="21" spans="1:23" customFormat="1">
      <c r="F21" s="42"/>
      <c r="H21" s="16"/>
    </row>
    <row r="22" spans="1:23" customFormat="1">
      <c r="D22" s="17" t="s">
        <v>68</v>
      </c>
      <c r="E22" s="16" t="s">
        <v>77</v>
      </c>
      <c r="F22" s="42"/>
      <c r="G22" s="137">
        <v>0.06</v>
      </c>
      <c r="H22" s="13" t="s">
        <v>78</v>
      </c>
    </row>
    <row r="23" spans="1:23" s="10" customFormat="1">
      <c r="A23" s="16"/>
      <c r="B23" s="16"/>
      <c r="C23" s="16"/>
      <c r="D23" s="17"/>
      <c r="E23" s="16"/>
      <c r="F23" s="4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7" customFormat="1" ht="15">
      <c r="A24" s="134"/>
      <c r="B24" s="8"/>
      <c r="C24" s="8"/>
      <c r="D24" s="138"/>
      <c r="E24" s="135" t="s">
        <v>79</v>
      </c>
      <c r="F24" s="1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customFormat="1">
      <c r="F25" s="42"/>
    </row>
    <row r="26" spans="1:23">
      <c r="A26" s="16"/>
      <c r="B26" s="16"/>
      <c r="C26" s="16"/>
      <c r="D26" s="17"/>
      <c r="E26" s="9" t="s">
        <v>80</v>
      </c>
      <c r="G26" s="16"/>
      <c r="H26" s="16"/>
      <c r="I26" s="16"/>
      <c r="J26" s="1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3"/>
      <c r="W26" s="16"/>
    </row>
    <row r="27" spans="1:23" s="16" customFormat="1">
      <c r="A27" s="150"/>
      <c r="B27" s="150"/>
      <c r="C27" s="150"/>
      <c r="D27" s="17" t="s">
        <v>81</v>
      </c>
      <c r="E27" s="18" t="s">
        <v>82</v>
      </c>
      <c r="F27" s="40" t="s">
        <v>83</v>
      </c>
      <c r="K27" s="127">
        <v>405.53399999999999</v>
      </c>
      <c r="L27" s="32"/>
      <c r="M27" s="32"/>
      <c r="N27" s="32"/>
      <c r="O27" s="32"/>
      <c r="P27" s="32"/>
      <c r="Q27" s="125"/>
      <c r="R27" s="125"/>
      <c r="S27" s="125"/>
      <c r="T27" s="125"/>
      <c r="U27" s="125"/>
      <c r="V27" s="13" t="s">
        <v>84</v>
      </c>
    </row>
    <row r="28" spans="1:23" s="16" customFormat="1">
      <c r="A28" s="150"/>
      <c r="B28" s="150"/>
      <c r="C28" s="150"/>
      <c r="D28" s="17" t="s">
        <v>81</v>
      </c>
      <c r="E28" s="18" t="s">
        <v>85</v>
      </c>
      <c r="F28" s="40" t="s">
        <v>83</v>
      </c>
      <c r="K28" s="127">
        <v>289.036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3" t="s">
        <v>86</v>
      </c>
    </row>
    <row r="29" spans="1:23" s="10" customFormat="1">
      <c r="A29" s="150"/>
      <c r="B29" s="150"/>
      <c r="C29" s="150"/>
      <c r="D29" s="17"/>
      <c r="E29" s="16"/>
      <c r="F29" s="40"/>
      <c r="G29" s="16"/>
      <c r="H29" s="16"/>
      <c r="I29" s="16"/>
      <c r="J29" s="16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3"/>
      <c r="W29" s="16"/>
    </row>
    <row r="30" spans="1:23" s="10" customFormat="1">
      <c r="A30" s="150"/>
      <c r="B30" s="150"/>
      <c r="C30" s="150"/>
      <c r="D30" s="17"/>
      <c r="E30" s="9" t="s">
        <v>87</v>
      </c>
      <c r="F30" s="40"/>
      <c r="G30" s="16"/>
      <c r="H30" s="16"/>
      <c r="I30" s="16"/>
      <c r="J30" s="16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3"/>
      <c r="W30" s="16"/>
    </row>
    <row r="31" spans="1:23" s="10" customFormat="1">
      <c r="A31" s="150"/>
      <c r="B31" s="150"/>
      <c r="C31" s="150"/>
      <c r="D31" s="17" t="s">
        <v>88</v>
      </c>
      <c r="E31" s="18" t="s">
        <v>89</v>
      </c>
      <c r="F31" s="40"/>
      <c r="G31" s="16"/>
      <c r="H31" s="16"/>
      <c r="I31" s="16"/>
      <c r="J31" s="16"/>
      <c r="K31" s="32"/>
      <c r="L31" s="33">
        <v>0</v>
      </c>
      <c r="M31" s="33">
        <v>0.84</v>
      </c>
      <c r="N31" s="33">
        <v>0.35</v>
      </c>
      <c r="O31" s="33">
        <v>0.06</v>
      </c>
      <c r="P31" s="33">
        <v>0.06</v>
      </c>
      <c r="Q31" s="32"/>
      <c r="R31" s="32"/>
      <c r="S31" s="32"/>
      <c r="T31" s="32"/>
      <c r="U31" s="32"/>
      <c r="V31" s="13" t="s">
        <v>90</v>
      </c>
      <c r="W31" s="16"/>
    </row>
    <row r="32" spans="1:23" s="10" customFormat="1">
      <c r="A32" s="150"/>
      <c r="B32" s="150"/>
      <c r="C32" s="150"/>
      <c r="D32" s="17" t="s">
        <v>88</v>
      </c>
      <c r="E32" s="18" t="s">
        <v>91</v>
      </c>
      <c r="F32" s="40"/>
      <c r="G32" s="16"/>
      <c r="H32" s="16"/>
      <c r="I32" s="16"/>
      <c r="J32" s="16"/>
      <c r="K32" s="32"/>
      <c r="L32" s="33">
        <v>0</v>
      </c>
      <c r="M32" s="33">
        <v>0.89</v>
      </c>
      <c r="N32" s="33">
        <v>0.4</v>
      </c>
      <c r="O32" s="33">
        <v>0.11</v>
      </c>
      <c r="P32" s="33">
        <v>0.11</v>
      </c>
      <c r="Q32" s="32"/>
      <c r="R32" s="32"/>
      <c r="S32" s="32"/>
      <c r="T32" s="32"/>
      <c r="U32" s="32"/>
      <c r="V32" s="13" t="s">
        <v>92</v>
      </c>
      <c r="W32" s="16"/>
    </row>
    <row r="33" spans="1:23" s="10" customFormat="1">
      <c r="A33" s="150"/>
      <c r="B33" s="150"/>
      <c r="C33" s="150"/>
      <c r="D33" s="17"/>
      <c r="E33" s="16"/>
      <c r="F33" s="40"/>
      <c r="G33" s="16"/>
      <c r="H33" s="16"/>
      <c r="I33" s="16"/>
      <c r="J33" s="1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3"/>
      <c r="W33" s="16"/>
    </row>
    <row r="34" spans="1:23" s="10" customFormat="1">
      <c r="A34" s="150"/>
      <c r="B34" s="150"/>
      <c r="C34" s="150"/>
      <c r="D34" s="17"/>
      <c r="E34" s="9" t="s">
        <v>93</v>
      </c>
      <c r="F34" s="40"/>
      <c r="G34" s="16"/>
      <c r="H34" s="16"/>
      <c r="I34" s="16"/>
      <c r="J34" s="1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3"/>
      <c r="W34" s="16"/>
    </row>
    <row r="35" spans="1:23" s="10" customFormat="1">
      <c r="A35" s="150"/>
      <c r="B35" s="150"/>
      <c r="C35" s="150"/>
      <c r="D35" s="17"/>
      <c r="E35" s="21" t="s">
        <v>94</v>
      </c>
      <c r="F35" s="40"/>
      <c r="G35" s="16"/>
      <c r="H35" s="16"/>
      <c r="I35" s="16"/>
      <c r="J35" s="16"/>
      <c r="K35" s="32"/>
      <c r="L35" s="16"/>
      <c r="M35" s="16"/>
      <c r="N35" s="16"/>
      <c r="O35" s="16"/>
      <c r="P35" s="16"/>
      <c r="Q35" s="32"/>
      <c r="R35" s="32"/>
      <c r="S35" s="32"/>
      <c r="T35" s="32"/>
      <c r="U35" s="32"/>
      <c r="V35" s="13"/>
      <c r="W35" s="16"/>
    </row>
    <row r="36" spans="1:23" s="10" customFormat="1">
      <c r="A36" s="150"/>
      <c r="B36" s="150"/>
      <c r="C36" s="150"/>
      <c r="D36" s="17" t="s">
        <v>81</v>
      </c>
      <c r="E36" s="24" t="s">
        <v>95</v>
      </c>
      <c r="F36" s="40" t="s">
        <v>96</v>
      </c>
      <c r="G36" s="16"/>
      <c r="H36" s="16"/>
      <c r="I36" s="16"/>
      <c r="J36" s="16"/>
      <c r="K36" s="32"/>
      <c r="L36" s="127">
        <v>418.50900000000001</v>
      </c>
      <c r="M36" s="128">
        <v>427.59199999999998</v>
      </c>
      <c r="N36" s="128">
        <v>435.05599999999998</v>
      </c>
      <c r="O36" s="128">
        <v>442.07600000000002</v>
      </c>
      <c r="P36" s="128">
        <v>453.226</v>
      </c>
      <c r="Q36" s="32"/>
      <c r="R36" s="32"/>
      <c r="S36" s="32"/>
      <c r="T36" s="32"/>
      <c r="U36" s="32"/>
      <c r="V36" s="13" t="s">
        <v>97</v>
      </c>
      <c r="W36" s="16"/>
    </row>
    <row r="37" spans="1:23" s="10" customFormat="1">
      <c r="A37" s="150"/>
      <c r="B37" s="150"/>
      <c r="C37" s="150"/>
      <c r="D37" s="17" t="s">
        <v>81</v>
      </c>
      <c r="E37" s="24" t="s">
        <v>98</v>
      </c>
      <c r="F37" s="40" t="s">
        <v>96</v>
      </c>
      <c r="G37" s="16"/>
      <c r="H37" s="16"/>
      <c r="I37" s="16"/>
      <c r="J37" s="16"/>
      <c r="K37" s="32"/>
      <c r="L37" s="128">
        <v>294.32600000000002</v>
      </c>
      <c r="M37" s="128">
        <v>299.33699999999999</v>
      </c>
      <c r="N37" s="128">
        <v>310.58199999999999</v>
      </c>
      <c r="O37" s="128">
        <v>321.892</v>
      </c>
      <c r="P37" s="128">
        <v>328.47300000000001</v>
      </c>
      <c r="Q37" s="32"/>
      <c r="R37" s="32"/>
      <c r="S37" s="32"/>
      <c r="T37" s="32"/>
      <c r="U37" s="32"/>
      <c r="V37" s="13" t="s">
        <v>99</v>
      </c>
      <c r="W37" s="16"/>
    </row>
    <row r="38" spans="1:23" s="10" customFormat="1">
      <c r="A38" s="150"/>
      <c r="B38" s="150"/>
      <c r="C38" s="150"/>
      <c r="D38" s="16"/>
      <c r="E38" s="16"/>
      <c r="F38" s="4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"/>
      <c r="W38" s="16"/>
    </row>
    <row r="39" spans="1:23" s="7" customFormat="1" ht="15">
      <c r="A39" s="134"/>
      <c r="B39" s="8"/>
      <c r="C39" s="8"/>
      <c r="D39" s="138"/>
      <c r="E39" s="135" t="s">
        <v>100</v>
      </c>
      <c r="F39" s="13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customFormat="1">
      <c r="A40" s="151"/>
      <c r="B40" s="151"/>
      <c r="C40" s="151"/>
      <c r="F40" s="42"/>
    </row>
    <row r="41" spans="1:23" s="10" customFormat="1">
      <c r="A41" s="150"/>
      <c r="B41" s="150"/>
      <c r="C41" s="150"/>
      <c r="D41" s="17"/>
      <c r="E41" s="9" t="s">
        <v>101</v>
      </c>
      <c r="F41" s="40"/>
      <c r="G41" s="16"/>
      <c r="H41" s="16"/>
      <c r="I41" s="16"/>
      <c r="J41" s="16"/>
      <c r="K41" s="32"/>
      <c r="L41" s="32"/>
      <c r="M41" s="32"/>
      <c r="N41" s="32"/>
      <c r="O41" s="32"/>
      <c r="P41" s="32"/>
      <c r="Q41" s="131"/>
      <c r="R41" s="32"/>
      <c r="S41" s="32"/>
      <c r="T41" s="32"/>
      <c r="U41" s="32"/>
      <c r="V41" s="13"/>
      <c r="W41" s="16"/>
    </row>
    <row r="42" spans="1:23" s="16" customFormat="1">
      <c r="A42" s="150"/>
      <c r="B42" s="150"/>
      <c r="C42" s="150"/>
      <c r="D42" s="17" t="s">
        <v>81</v>
      </c>
      <c r="E42" s="18" t="s">
        <v>102</v>
      </c>
      <c r="F42" s="40" t="s">
        <v>103</v>
      </c>
      <c r="K42" s="127">
        <v>-5.3840000000000003</v>
      </c>
      <c r="L42" s="13" t="s">
        <v>104</v>
      </c>
      <c r="M42" s="13"/>
      <c r="N42" s="13"/>
      <c r="O42" s="13"/>
      <c r="P42" s="13"/>
      <c r="Q42" s="13"/>
      <c r="R42" s="32"/>
      <c r="S42" s="32"/>
      <c r="T42" s="32"/>
      <c r="U42" s="32"/>
      <c r="V42" s="13"/>
    </row>
    <row r="43" spans="1:23" s="16" customFormat="1">
      <c r="A43" s="150"/>
      <c r="B43" s="150"/>
      <c r="C43" s="150"/>
      <c r="D43" s="17" t="s">
        <v>81</v>
      </c>
      <c r="E43" s="18" t="s">
        <v>105</v>
      </c>
      <c r="F43" s="40" t="s">
        <v>103</v>
      </c>
      <c r="K43" s="128">
        <v>-2.198</v>
      </c>
      <c r="L43" s="13" t="s">
        <v>106</v>
      </c>
      <c r="M43" s="13"/>
      <c r="N43" s="13"/>
      <c r="O43" s="13"/>
      <c r="P43" s="13"/>
      <c r="Q43" s="13"/>
      <c r="R43" s="32"/>
      <c r="S43" s="32"/>
      <c r="T43" s="32"/>
      <c r="U43" s="32"/>
      <c r="V43" s="13"/>
    </row>
    <row r="44" spans="1:23" s="10" customFormat="1">
      <c r="A44" s="150"/>
      <c r="B44" s="150"/>
      <c r="C44" s="150"/>
      <c r="D44" s="147" t="s">
        <v>107</v>
      </c>
      <c r="E44" s="148" t="s">
        <v>108</v>
      </c>
      <c r="F44" s="149" t="s">
        <v>109</v>
      </c>
      <c r="G44" s="13"/>
      <c r="H44" s="13"/>
      <c r="I44" s="16"/>
      <c r="J44" s="16"/>
      <c r="K44" s="32"/>
      <c r="L44" s="32"/>
      <c r="M44" s="32"/>
      <c r="N44" s="129">
        <v>0</v>
      </c>
      <c r="O44" s="129">
        <v>0</v>
      </c>
      <c r="P44" s="129">
        <v>0</v>
      </c>
      <c r="Q44" s="139">
        <f>SUM(N44:P44)</f>
        <v>0</v>
      </c>
      <c r="R44" s="32"/>
      <c r="S44" s="32"/>
      <c r="T44" s="32"/>
      <c r="U44" s="32"/>
      <c r="V44" s="13"/>
      <c r="W44" s="16"/>
    </row>
    <row r="45" spans="1:23" s="10" customFormat="1">
      <c r="A45" s="150"/>
      <c r="B45" s="150"/>
      <c r="C45" s="150"/>
      <c r="D45" s="147" t="s">
        <v>107</v>
      </c>
      <c r="E45" s="148" t="s">
        <v>110</v>
      </c>
      <c r="F45" s="149" t="s">
        <v>109</v>
      </c>
      <c r="G45" s="13"/>
      <c r="H45" s="13"/>
      <c r="I45" s="16"/>
      <c r="J45" s="16"/>
      <c r="K45" s="32"/>
      <c r="L45" s="32"/>
      <c r="M45" s="32"/>
      <c r="N45" s="129">
        <v>0</v>
      </c>
      <c r="O45" s="129">
        <v>0</v>
      </c>
      <c r="P45" s="129">
        <v>0</v>
      </c>
      <c r="Q45" s="139">
        <f>SUM(N45:P45)</f>
        <v>0</v>
      </c>
      <c r="R45" s="32"/>
      <c r="S45" s="32"/>
      <c r="T45" s="32"/>
      <c r="U45" s="32"/>
      <c r="V45" s="13"/>
      <c r="W45" s="16"/>
    </row>
    <row r="46" spans="1:23" s="10" customFormat="1">
      <c r="A46" s="150"/>
      <c r="B46" s="150"/>
      <c r="C46" s="150"/>
      <c r="D46" s="146"/>
      <c r="E46" s="148"/>
      <c r="F46" s="149"/>
      <c r="G46" s="13"/>
      <c r="H46" s="13"/>
      <c r="I46" s="16"/>
      <c r="J46" s="1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3"/>
      <c r="W46" s="16"/>
    </row>
    <row r="47" spans="1:23" s="7" customFormat="1" ht="15">
      <c r="A47" s="134"/>
      <c r="B47" s="8"/>
      <c r="C47" s="8"/>
      <c r="D47" s="138"/>
      <c r="E47" s="135" t="s">
        <v>233</v>
      </c>
      <c r="F47" s="13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10" customFormat="1">
      <c r="A48" s="150"/>
      <c r="B48" s="150"/>
      <c r="C48" s="150"/>
      <c r="D48" s="146"/>
      <c r="E48" s="148"/>
      <c r="F48" s="149"/>
      <c r="G48" s="13"/>
      <c r="H48" s="13"/>
      <c r="I48" s="16"/>
      <c r="J48" s="16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3"/>
      <c r="W48" s="16"/>
    </row>
    <row r="49" spans="1:23" s="10" customFormat="1">
      <c r="A49" s="150"/>
      <c r="B49" s="150"/>
      <c r="C49" s="150"/>
      <c r="D49" s="146"/>
      <c r="E49" s="165" t="s">
        <v>234</v>
      </c>
      <c r="F49" s="149"/>
      <c r="G49" s="13"/>
      <c r="H49" s="13"/>
      <c r="I49" s="16"/>
      <c r="J49" s="1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3"/>
      <c r="W49" s="16"/>
    </row>
    <row r="50" spans="1:23" s="10" customFormat="1">
      <c r="A50" s="150"/>
      <c r="B50" s="150"/>
      <c r="C50" s="150"/>
      <c r="D50" s="17" t="s">
        <v>81</v>
      </c>
      <c r="E50" s="24" t="s">
        <v>239</v>
      </c>
      <c r="F50" s="40" t="s">
        <v>96</v>
      </c>
      <c r="G50" s="13"/>
      <c r="H50" s="13"/>
      <c r="I50" s="16"/>
      <c r="J50" s="16"/>
      <c r="K50" s="32"/>
      <c r="L50" s="32"/>
      <c r="M50" s="32"/>
      <c r="N50" s="32"/>
      <c r="O50" s="128">
        <v>0</v>
      </c>
      <c r="P50" s="32"/>
      <c r="Q50" s="32"/>
      <c r="R50" s="32"/>
      <c r="S50" s="32"/>
      <c r="T50" s="32"/>
      <c r="U50" s="32"/>
      <c r="V50" s="13"/>
      <c r="W50" s="16"/>
    </row>
    <row r="51" spans="1:23" s="10" customFormat="1">
      <c r="A51" s="150"/>
      <c r="B51" s="150"/>
      <c r="C51" s="150"/>
      <c r="D51" s="17" t="s">
        <v>81</v>
      </c>
      <c r="E51" s="24" t="s">
        <v>240</v>
      </c>
      <c r="F51" s="40" t="s">
        <v>96</v>
      </c>
      <c r="G51" s="13"/>
      <c r="H51" s="13"/>
      <c r="I51" s="16"/>
      <c r="J51" s="16"/>
      <c r="K51" s="32"/>
      <c r="L51" s="32"/>
      <c r="M51" s="32"/>
      <c r="N51" s="32"/>
      <c r="O51" s="128">
        <v>0</v>
      </c>
      <c r="P51" s="32"/>
      <c r="Q51" s="32"/>
      <c r="R51" s="32"/>
      <c r="S51" s="32"/>
      <c r="T51" s="32"/>
      <c r="U51" s="32"/>
      <c r="V51" s="13"/>
      <c r="W51" s="16"/>
    </row>
    <row r="52" spans="1:23" s="10" customFormat="1">
      <c r="A52" s="150"/>
      <c r="B52" s="150"/>
      <c r="C52" s="150"/>
      <c r="D52" s="146"/>
      <c r="E52" s="148"/>
      <c r="F52" s="149"/>
      <c r="G52" s="13"/>
      <c r="H52" s="13"/>
      <c r="I52" s="16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3"/>
      <c r="W52" s="16"/>
    </row>
    <row r="53" spans="1:23" s="10" customFormat="1">
      <c r="A53" s="150"/>
      <c r="B53" s="150"/>
      <c r="C53" s="150"/>
      <c r="D53" s="17" t="s">
        <v>81</v>
      </c>
      <c r="E53" s="24" t="s">
        <v>241</v>
      </c>
      <c r="F53" s="40" t="s">
        <v>96</v>
      </c>
      <c r="G53" s="13"/>
      <c r="H53" s="13"/>
      <c r="I53" s="16"/>
      <c r="J53" s="16"/>
      <c r="K53" s="32"/>
      <c r="L53" s="32"/>
      <c r="M53" s="32"/>
      <c r="N53" s="32"/>
      <c r="O53" s="32"/>
      <c r="P53" s="128">
        <v>0</v>
      </c>
      <c r="Q53" s="32"/>
      <c r="R53" s="32"/>
      <c r="S53" s="32"/>
      <c r="T53" s="32"/>
      <c r="U53" s="32"/>
      <c r="V53" s="13"/>
      <c r="W53" s="16"/>
    </row>
    <row r="54" spans="1:23" s="10" customFormat="1">
      <c r="A54" s="150"/>
      <c r="B54" s="150"/>
      <c r="C54" s="150"/>
      <c r="D54" s="17" t="s">
        <v>81</v>
      </c>
      <c r="E54" s="24" t="s">
        <v>242</v>
      </c>
      <c r="F54" s="40" t="s">
        <v>96</v>
      </c>
      <c r="G54" s="13"/>
      <c r="H54" s="13"/>
      <c r="I54" s="16"/>
      <c r="J54" s="16"/>
      <c r="K54" s="32"/>
      <c r="L54" s="32"/>
      <c r="M54" s="32"/>
      <c r="N54" s="32"/>
      <c r="O54" s="32"/>
      <c r="P54" s="128">
        <v>0</v>
      </c>
      <c r="Q54" s="32"/>
      <c r="R54" s="32"/>
      <c r="S54" s="32"/>
      <c r="T54" s="32"/>
      <c r="U54" s="32"/>
      <c r="V54" s="13"/>
      <c r="W54" s="16"/>
    </row>
    <row r="55" spans="1:23" s="10" customFormat="1" ht="13.5" thickBot="1">
      <c r="A55" s="150"/>
      <c r="B55" s="150"/>
      <c r="C55" s="150"/>
      <c r="D55" s="146"/>
      <c r="E55" s="148"/>
      <c r="F55" s="149"/>
      <c r="G55" s="13"/>
      <c r="H55" s="13"/>
      <c r="I55" s="16"/>
      <c r="J55" s="16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3"/>
      <c r="W55" s="16"/>
    </row>
    <row r="56" spans="1:23" ht="13.5" thickBot="1">
      <c r="A56" s="11" t="s">
        <v>111</v>
      </c>
      <c r="B56" s="12"/>
      <c r="C56" s="12"/>
      <c r="D56" s="12"/>
      <c r="E56" s="12"/>
      <c r="F56" s="4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/>
    <row r="58" spans="1:23" hidden="1"/>
    <row r="59" spans="1:23" hidden="1"/>
    <row r="60" spans="1:23" hidden="1"/>
    <row r="61" spans="1:23" hidden="1"/>
    <row r="62" spans="1:23" hidden="1"/>
    <row r="63" spans="1:23"/>
    <row r="64" spans="1:23"/>
    <row r="65"/>
    <row r="66"/>
    <row r="67"/>
    <row r="68"/>
    <row r="69"/>
    <row r="70"/>
    <row r="71"/>
    <row r="72"/>
    <row r="73"/>
    <row r="74"/>
    <row r="75"/>
    <row r="76"/>
  </sheetData>
  <sheetProtection algorithmName="SHA-512" hashValue="+WOQBmH7u+QAeN/Mj/Xfc7YjS+HYRy055gyZ0+MTRmfRWXtH094h4C/OVjHpSouzOg7dlrWdRjEuBxpX/TDfMA==" saltValue="FTtPTWRvUuTTYpzZiP2wAw==" spinCount="100000" sheet="1" objects="1" scenarios="1"/>
  <dataValidations count="2">
    <dataValidation type="list" allowBlank="1" showInputMessage="1" showErrorMessage="1" sqref="G11">
      <formula1>"WaSC,WOC"</formula1>
    </dataValidation>
    <dataValidation type="list" allowBlank="1" showInputMessage="1" showErrorMessage="1" sqref="G12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F27" activePane="bottomRight" state="frozen"/>
      <selection activeCell="A20" sqref="A20"/>
      <selection pane="topRight" activeCell="A20" sqref="A20"/>
      <selection pane="bottomLeft" activeCell="A20" sqref="A20"/>
      <selection pane="bottomRight" activeCell="O12" sqref="O12"/>
    </sheetView>
  </sheetViews>
  <sheetFormatPr defaultColWidth="0" defaultRowHeight="0" customHeight="1" zeroHeight="1"/>
  <cols>
    <col min="1" max="3" width="4.5703125" style="44" customWidth="1"/>
    <col min="4" max="4" width="11.5703125" style="44" customWidth="1"/>
    <col min="5" max="5" width="53.140625" style="44" customWidth="1"/>
    <col min="6" max="7" width="2.5703125" style="44" customWidth="1"/>
    <col min="8" max="21" width="11" style="44" customWidth="1"/>
    <col min="22" max="22" width="35.140625" style="45" customWidth="1"/>
    <col min="23" max="26" width="8.85546875" style="44" hidden="1" customWidth="1"/>
    <col min="27" max="259" width="0" style="44" hidden="1" customWidth="1"/>
    <col min="260" max="16384" width="0" style="44" hidden="1"/>
  </cols>
  <sheetData>
    <row r="1" spans="1:24" s="98" customFormat="1" ht="33.75">
      <c r="A1" s="111"/>
      <c r="B1" s="111"/>
      <c r="C1" s="110"/>
      <c r="D1" s="109" t="s">
        <v>112</v>
      </c>
      <c r="E1" s="109"/>
      <c r="F1" s="109"/>
      <c r="G1" s="109"/>
      <c r="H1" s="109"/>
      <c r="I1" s="107"/>
      <c r="J1" s="107"/>
      <c r="K1" s="108"/>
      <c r="L1" s="108"/>
      <c r="M1" s="107"/>
      <c r="N1" s="107"/>
      <c r="O1" s="107"/>
      <c r="P1" s="107"/>
      <c r="Q1" s="107"/>
      <c r="R1" s="107"/>
      <c r="S1" s="107"/>
      <c r="T1" s="107"/>
      <c r="U1" s="106"/>
      <c r="V1" s="105"/>
      <c r="W1" s="100"/>
      <c r="X1" s="99"/>
    </row>
    <row r="2" spans="1:24" s="98" customFormat="1" ht="12.75">
      <c r="A2" s="50"/>
      <c r="B2" s="54"/>
      <c r="C2" s="71"/>
      <c r="D2" s="54"/>
      <c r="E2" s="65"/>
      <c r="F2" s="65"/>
      <c r="G2" s="65"/>
      <c r="H2" s="104"/>
      <c r="I2" s="103"/>
      <c r="J2" s="103"/>
      <c r="K2" s="103"/>
      <c r="L2" s="103"/>
      <c r="M2" s="103"/>
      <c r="S2" s="102"/>
      <c r="T2" s="102"/>
      <c r="U2" s="101"/>
      <c r="V2" s="44"/>
      <c r="W2" s="100"/>
      <c r="X2" s="99"/>
    </row>
    <row r="3" spans="1:24" s="93" customFormat="1" ht="15">
      <c r="A3" s="85"/>
      <c r="B3" s="88"/>
      <c r="C3" s="89"/>
      <c r="D3" s="88"/>
      <c r="E3" s="97" t="s">
        <v>57</v>
      </c>
      <c r="F3" s="97"/>
      <c r="G3" s="97"/>
      <c r="H3" s="95" t="s">
        <v>113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96" t="str">
        <f t="shared" si="0"/>
        <v>2015-16</v>
      </c>
      <c r="M3" s="96" t="str">
        <f t="shared" si="0"/>
        <v>2016-17</v>
      </c>
      <c r="N3" s="96" t="str">
        <f t="shared" si="0"/>
        <v>2017-18</v>
      </c>
      <c r="O3" s="96" t="str">
        <f t="shared" si="0"/>
        <v>2018-19</v>
      </c>
      <c r="P3" s="96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4"/>
    </row>
    <row r="4" spans="1:24" s="90" customFormat="1" ht="18" customHeight="1">
      <c r="A4" s="50"/>
      <c r="B4" s="54"/>
      <c r="C4" s="71"/>
      <c r="D4" s="54"/>
      <c r="E4" s="92"/>
      <c r="F4" s="92"/>
      <c r="G4" s="92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91"/>
    </row>
    <row r="5" spans="1:24" s="85" customFormat="1" ht="12.75">
      <c r="B5" s="88"/>
      <c r="C5" s="89"/>
      <c r="D5" s="88"/>
      <c r="E5" s="88" t="s">
        <v>114</v>
      </c>
      <c r="F5" s="88"/>
      <c r="G5" s="88"/>
      <c r="H5" s="87">
        <v>2011</v>
      </c>
      <c r="I5" s="87">
        <f t="shared" ref="I5:U5" si="1">Calendar.Years</f>
        <v>2012</v>
      </c>
      <c r="J5" s="87">
        <f t="shared" si="1"/>
        <v>2013</v>
      </c>
      <c r="K5" s="87">
        <f t="shared" si="1"/>
        <v>2014</v>
      </c>
      <c r="L5" s="87">
        <f t="shared" si="1"/>
        <v>2015</v>
      </c>
      <c r="M5" s="87">
        <f t="shared" si="1"/>
        <v>2016</v>
      </c>
      <c r="N5" s="87">
        <f t="shared" si="1"/>
        <v>2017</v>
      </c>
      <c r="O5" s="87">
        <f t="shared" si="1"/>
        <v>2018</v>
      </c>
      <c r="P5" s="87">
        <f t="shared" si="1"/>
        <v>2019</v>
      </c>
      <c r="Q5" s="87">
        <f t="shared" si="1"/>
        <v>2020</v>
      </c>
      <c r="R5" s="87">
        <f t="shared" si="1"/>
        <v>2021</v>
      </c>
      <c r="S5" s="87">
        <f t="shared" si="1"/>
        <v>2022</v>
      </c>
      <c r="T5" s="87">
        <f t="shared" si="1"/>
        <v>2023</v>
      </c>
      <c r="U5" s="87">
        <f t="shared" si="1"/>
        <v>2024</v>
      </c>
      <c r="V5" s="86"/>
    </row>
    <row r="6" spans="1:24" s="50" customFormat="1" ht="12.75">
      <c r="B6" s="54"/>
      <c r="C6" s="71"/>
      <c r="D6" s="54"/>
      <c r="E6" s="84" t="s">
        <v>59</v>
      </c>
      <c r="F6" s="54"/>
      <c r="G6" s="54"/>
      <c r="H6" s="83">
        <v>-3</v>
      </c>
      <c r="I6" s="83">
        <v>-2</v>
      </c>
      <c r="J6" s="83">
        <v>-1</v>
      </c>
      <c r="K6" s="83">
        <v>0</v>
      </c>
      <c r="L6" s="83">
        <v>1</v>
      </c>
      <c r="M6" s="83">
        <v>2</v>
      </c>
      <c r="N6" s="83">
        <v>3</v>
      </c>
      <c r="O6" s="83">
        <v>4</v>
      </c>
      <c r="P6" s="83">
        <v>5</v>
      </c>
      <c r="Q6" s="83">
        <v>6</v>
      </c>
      <c r="R6" s="83">
        <v>7</v>
      </c>
      <c r="S6" s="83">
        <v>8</v>
      </c>
      <c r="T6" s="83">
        <v>9</v>
      </c>
      <c r="U6" s="83">
        <v>10</v>
      </c>
      <c r="V6" s="51"/>
    </row>
    <row r="7" spans="1:24" s="50" customFormat="1" ht="12.75" customHeight="1">
      <c r="B7" s="54"/>
      <c r="C7" s="71"/>
      <c r="D7" s="54"/>
      <c r="F7" s="70"/>
      <c r="G7" s="70"/>
      <c r="I7" s="69" t="s">
        <v>115</v>
      </c>
      <c r="J7" s="69" t="s">
        <v>115</v>
      </c>
      <c r="K7" s="69" t="s">
        <v>115</v>
      </c>
      <c r="L7" s="69" t="s">
        <v>115</v>
      </c>
      <c r="M7" s="69" t="s">
        <v>115</v>
      </c>
      <c r="N7" s="69" t="s">
        <v>115</v>
      </c>
      <c r="O7" s="69" t="s">
        <v>115</v>
      </c>
      <c r="P7" s="69" t="s">
        <v>115</v>
      </c>
      <c r="Q7" s="69" t="s">
        <v>115</v>
      </c>
      <c r="R7" s="69" t="s">
        <v>115</v>
      </c>
      <c r="S7" s="69" t="s">
        <v>115</v>
      </c>
      <c r="T7" s="69" t="s">
        <v>115</v>
      </c>
      <c r="U7" s="69" t="s">
        <v>115</v>
      </c>
      <c r="V7" s="51"/>
    </row>
    <row r="8" spans="1:24" s="50" customFormat="1" ht="12.75" customHeight="1">
      <c r="A8" s="82"/>
      <c r="B8" s="81"/>
      <c r="C8" s="81"/>
      <c r="D8" s="79"/>
      <c r="E8" s="80" t="s">
        <v>46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4" s="50" customFormat="1" ht="12.75" customHeight="1">
      <c r="B9" s="54"/>
      <c r="C9" s="71"/>
      <c r="D9" s="54"/>
      <c r="E9" s="70"/>
      <c r="F9" s="70"/>
      <c r="G9" s="7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1"/>
    </row>
    <row r="10" spans="1:24" s="50" customFormat="1" ht="12.75" customHeight="1">
      <c r="B10" s="54"/>
      <c r="C10" s="71"/>
      <c r="D10" s="54"/>
      <c r="E10" s="70" t="s">
        <v>116</v>
      </c>
      <c r="F10" s="70"/>
      <c r="G10" s="7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1"/>
    </row>
    <row r="11" spans="1:24" s="50" customFormat="1" ht="12.75">
      <c r="B11" s="67">
        <v>1</v>
      </c>
      <c r="C11" s="71"/>
      <c r="D11" s="54" t="s">
        <v>117</v>
      </c>
      <c r="E11" s="63" t="s">
        <v>118</v>
      </c>
      <c r="F11" s="63"/>
      <c r="G11" s="63"/>
      <c r="I11" s="78">
        <v>242.5</v>
      </c>
      <c r="J11" s="78">
        <v>249.5</v>
      </c>
      <c r="K11" s="78">
        <v>255.7</v>
      </c>
      <c r="L11" s="78">
        <v>258</v>
      </c>
      <c r="M11" s="78">
        <v>261.39999999999998</v>
      </c>
      <c r="N11" s="78">
        <v>270.60000000000002</v>
      </c>
      <c r="O11" s="78">
        <v>279.7</v>
      </c>
      <c r="P11" s="78"/>
      <c r="Q11" s="78"/>
      <c r="R11" s="78"/>
      <c r="S11" s="78"/>
      <c r="T11" s="78"/>
      <c r="U11" s="78"/>
      <c r="V11" s="172"/>
    </row>
    <row r="12" spans="1:24" s="50" customFormat="1" ht="12.75">
      <c r="B12" s="67">
        <v>2</v>
      </c>
      <c r="C12" s="71"/>
      <c r="D12" s="54" t="s">
        <v>117</v>
      </c>
      <c r="E12" s="63" t="s">
        <v>119</v>
      </c>
      <c r="F12" s="63"/>
      <c r="G12" s="63"/>
      <c r="I12" s="78">
        <v>242.4</v>
      </c>
      <c r="J12" s="78">
        <v>250</v>
      </c>
      <c r="K12" s="78">
        <v>255.9</v>
      </c>
      <c r="L12" s="78">
        <v>258.5</v>
      </c>
      <c r="M12" s="78">
        <v>262.10000000000002</v>
      </c>
      <c r="N12" s="78">
        <v>271.7</v>
      </c>
      <c r="O12" s="78"/>
      <c r="P12" s="78"/>
      <c r="Q12" s="78"/>
      <c r="R12" s="78"/>
      <c r="S12" s="78"/>
      <c r="T12" s="78"/>
      <c r="U12" s="78"/>
      <c r="V12" s="172"/>
    </row>
    <row r="13" spans="1:24" s="50" customFormat="1" ht="12.75">
      <c r="B13" s="67">
        <v>3</v>
      </c>
      <c r="C13" s="71"/>
      <c r="D13" s="54" t="s">
        <v>117</v>
      </c>
      <c r="E13" s="63" t="s">
        <v>120</v>
      </c>
      <c r="F13" s="63"/>
      <c r="G13" s="63"/>
      <c r="I13" s="78">
        <v>241.8</v>
      </c>
      <c r="J13" s="78">
        <v>249.7</v>
      </c>
      <c r="K13" s="78">
        <v>256.3</v>
      </c>
      <c r="L13" s="78">
        <v>258.89999999999998</v>
      </c>
      <c r="M13" s="78">
        <v>263.10000000000002</v>
      </c>
      <c r="N13" s="78">
        <v>272.3</v>
      </c>
      <c r="O13" s="78"/>
      <c r="P13" s="78"/>
      <c r="Q13" s="78"/>
      <c r="R13" s="78"/>
      <c r="S13" s="78"/>
      <c r="T13" s="78"/>
      <c r="U13" s="78"/>
      <c r="V13" s="172"/>
    </row>
    <row r="14" spans="1:24" s="50" customFormat="1" ht="12.75">
      <c r="B14" s="67">
        <v>4</v>
      </c>
      <c r="C14" s="71"/>
      <c r="D14" s="54" t="s">
        <v>117</v>
      </c>
      <c r="E14" s="63" t="s">
        <v>121</v>
      </c>
      <c r="F14" s="63"/>
      <c r="G14" s="63"/>
      <c r="I14" s="78">
        <v>242.1</v>
      </c>
      <c r="J14" s="78">
        <v>249.7</v>
      </c>
      <c r="K14" s="78">
        <v>256</v>
      </c>
      <c r="L14" s="78">
        <v>258.60000000000002</v>
      </c>
      <c r="M14" s="78">
        <v>263.39999999999998</v>
      </c>
      <c r="N14" s="78">
        <v>272.89999999999998</v>
      </c>
      <c r="O14" s="78"/>
      <c r="P14" s="78"/>
      <c r="Q14" s="78"/>
      <c r="R14" s="78"/>
      <c r="S14" s="78"/>
      <c r="T14" s="78"/>
      <c r="U14" s="78"/>
      <c r="V14" s="172"/>
    </row>
    <row r="15" spans="1:24" s="50" customFormat="1" ht="12.75">
      <c r="B15" s="67">
        <v>5</v>
      </c>
      <c r="C15" s="71"/>
      <c r="D15" s="54" t="s">
        <v>117</v>
      </c>
      <c r="E15" s="63" t="s">
        <v>122</v>
      </c>
      <c r="F15" s="63"/>
      <c r="G15" s="63"/>
      <c r="I15" s="78">
        <v>243</v>
      </c>
      <c r="J15" s="78">
        <v>251</v>
      </c>
      <c r="K15" s="78">
        <v>257</v>
      </c>
      <c r="L15" s="78">
        <v>259.8</v>
      </c>
      <c r="M15" s="78">
        <v>264.39999999999998</v>
      </c>
      <c r="N15" s="78">
        <v>274.7</v>
      </c>
      <c r="O15" s="78"/>
      <c r="P15" s="78"/>
      <c r="Q15" s="78"/>
      <c r="R15" s="78"/>
      <c r="S15" s="78"/>
      <c r="T15" s="78"/>
      <c r="U15" s="78"/>
      <c r="V15" s="172"/>
    </row>
    <row r="16" spans="1:24" s="50" customFormat="1" ht="12.75">
      <c r="B16" s="67">
        <v>6</v>
      </c>
      <c r="C16" s="71"/>
      <c r="D16" s="54" t="s">
        <v>117</v>
      </c>
      <c r="E16" s="63" t="s">
        <v>123</v>
      </c>
      <c r="F16" s="63"/>
      <c r="G16" s="63"/>
      <c r="I16" s="78">
        <v>244.2</v>
      </c>
      <c r="J16" s="78">
        <v>251.9</v>
      </c>
      <c r="K16" s="78">
        <v>257.60000000000002</v>
      </c>
      <c r="L16" s="78">
        <v>259.60000000000002</v>
      </c>
      <c r="M16" s="78">
        <v>264.89999999999998</v>
      </c>
      <c r="N16" s="78">
        <v>275.10000000000002</v>
      </c>
      <c r="O16" s="78"/>
      <c r="P16" s="78"/>
      <c r="Q16" s="78"/>
      <c r="R16" s="78"/>
      <c r="S16" s="78"/>
      <c r="T16" s="78"/>
      <c r="U16" s="78"/>
      <c r="V16" s="172"/>
    </row>
    <row r="17" spans="2:22" s="50" customFormat="1" ht="12.75">
      <c r="B17" s="67">
        <v>7</v>
      </c>
      <c r="C17" s="71"/>
      <c r="D17" s="54" t="s">
        <v>117</v>
      </c>
      <c r="E17" s="63" t="s">
        <v>124</v>
      </c>
      <c r="F17" s="63"/>
      <c r="G17" s="63"/>
      <c r="I17" s="78">
        <v>245.6</v>
      </c>
      <c r="J17" s="78">
        <v>251.9</v>
      </c>
      <c r="K17" s="78">
        <v>257.7</v>
      </c>
      <c r="L17" s="78">
        <v>259.5</v>
      </c>
      <c r="M17" s="78">
        <v>264.8</v>
      </c>
      <c r="N17" s="78">
        <v>275.3</v>
      </c>
      <c r="O17" s="78"/>
      <c r="P17" s="78"/>
      <c r="Q17" s="78"/>
      <c r="R17" s="78"/>
      <c r="S17" s="78"/>
      <c r="T17" s="78"/>
      <c r="U17" s="78"/>
      <c r="V17" s="172"/>
    </row>
    <row r="18" spans="2:22" s="50" customFormat="1" ht="12.75">
      <c r="B18" s="67">
        <v>8</v>
      </c>
      <c r="C18" s="71"/>
      <c r="D18" s="54" t="s">
        <v>117</v>
      </c>
      <c r="E18" s="63" t="s">
        <v>125</v>
      </c>
      <c r="F18" s="63"/>
      <c r="G18" s="63"/>
      <c r="H18" s="78">
        <v>238.5</v>
      </c>
      <c r="I18" s="78">
        <v>245.6</v>
      </c>
      <c r="J18" s="78">
        <v>252.1</v>
      </c>
      <c r="K18" s="78">
        <v>257.10000000000002</v>
      </c>
      <c r="L18" s="78">
        <v>259.8</v>
      </c>
      <c r="M18" s="78">
        <v>265.5</v>
      </c>
      <c r="N18" s="78">
        <v>275.8</v>
      </c>
      <c r="O18" s="78"/>
      <c r="P18" s="78"/>
      <c r="Q18" s="78"/>
      <c r="R18" s="78"/>
      <c r="S18" s="78"/>
      <c r="T18" s="78"/>
      <c r="U18" s="78"/>
      <c r="V18" s="172"/>
    </row>
    <row r="19" spans="2:22" s="50" customFormat="1" ht="12.75">
      <c r="B19" s="67">
        <v>9</v>
      </c>
      <c r="C19" s="71"/>
      <c r="D19" s="54" t="s">
        <v>117</v>
      </c>
      <c r="E19" s="63" t="s">
        <v>126</v>
      </c>
      <c r="F19" s="63"/>
      <c r="G19" s="63"/>
      <c r="I19" s="78">
        <v>246.8</v>
      </c>
      <c r="J19" s="78">
        <v>253.4</v>
      </c>
      <c r="K19" s="78">
        <v>257.5</v>
      </c>
      <c r="L19" s="78">
        <v>260.60000000000002</v>
      </c>
      <c r="M19" s="78">
        <v>267.10000000000002</v>
      </c>
      <c r="N19" s="78">
        <v>278.10000000000002</v>
      </c>
      <c r="O19" s="78"/>
      <c r="P19" s="78"/>
      <c r="Q19" s="78"/>
      <c r="R19" s="78"/>
      <c r="S19" s="78"/>
      <c r="T19" s="78"/>
      <c r="U19" s="78"/>
      <c r="V19" s="172"/>
    </row>
    <row r="20" spans="2:22" s="50" customFormat="1" ht="12.75">
      <c r="B20" s="67">
        <v>10</v>
      </c>
      <c r="C20" s="71"/>
      <c r="D20" s="54" t="s">
        <v>117</v>
      </c>
      <c r="E20" s="63" t="s">
        <v>127</v>
      </c>
      <c r="F20" s="63"/>
      <c r="G20" s="63"/>
      <c r="I20" s="78">
        <v>245.8</v>
      </c>
      <c r="J20" s="78">
        <v>252.6</v>
      </c>
      <c r="K20" s="78">
        <v>255.4</v>
      </c>
      <c r="L20" s="78">
        <v>258.8</v>
      </c>
      <c r="M20" s="78">
        <v>265.5</v>
      </c>
      <c r="N20" s="78">
        <v>276</v>
      </c>
      <c r="O20" s="78"/>
      <c r="P20" s="78"/>
      <c r="Q20" s="78"/>
      <c r="R20" s="78"/>
      <c r="S20" s="78"/>
      <c r="T20" s="78"/>
      <c r="U20" s="78"/>
      <c r="V20" s="172"/>
    </row>
    <row r="21" spans="2:22" s="50" customFormat="1" ht="12.75">
      <c r="B21" s="67">
        <v>11</v>
      </c>
      <c r="C21" s="71"/>
      <c r="D21" s="54" t="s">
        <v>117</v>
      </c>
      <c r="E21" s="63" t="s">
        <v>128</v>
      </c>
      <c r="F21" s="63"/>
      <c r="G21" s="63"/>
      <c r="I21" s="78">
        <v>247.6</v>
      </c>
      <c r="J21" s="78">
        <v>254.2</v>
      </c>
      <c r="K21" s="78">
        <v>256.7</v>
      </c>
      <c r="L21" s="78">
        <v>260</v>
      </c>
      <c r="M21" s="78">
        <v>268.39999999999998</v>
      </c>
      <c r="N21" s="78">
        <v>278.10000000000002</v>
      </c>
      <c r="O21" s="78"/>
      <c r="P21" s="78"/>
      <c r="Q21" s="78"/>
      <c r="R21" s="78"/>
      <c r="S21" s="78"/>
      <c r="T21" s="78"/>
      <c r="U21" s="78"/>
      <c r="V21" s="172"/>
    </row>
    <row r="22" spans="2:22" s="50" customFormat="1" ht="12.75">
      <c r="B22" s="67">
        <v>12</v>
      </c>
      <c r="C22" s="71"/>
      <c r="D22" s="54" t="s">
        <v>117</v>
      </c>
      <c r="E22" s="63" t="s">
        <v>129</v>
      </c>
      <c r="F22" s="63"/>
      <c r="G22" s="63"/>
      <c r="I22" s="78">
        <v>248.7</v>
      </c>
      <c r="J22" s="78">
        <v>254.8</v>
      </c>
      <c r="K22" s="78">
        <v>257.10000000000002</v>
      </c>
      <c r="L22" s="78">
        <v>261.10000000000002</v>
      </c>
      <c r="M22" s="78">
        <v>269.3</v>
      </c>
      <c r="N22" s="78">
        <v>278.3</v>
      </c>
      <c r="O22" s="78"/>
      <c r="P22" s="78"/>
      <c r="Q22" s="78"/>
      <c r="R22" s="78"/>
      <c r="S22" s="78"/>
      <c r="T22" s="78"/>
      <c r="U22" s="78"/>
      <c r="V22" s="172"/>
    </row>
    <row r="23" spans="2:22" s="72" customFormat="1" ht="12.75">
      <c r="B23" s="53"/>
      <c r="C23" s="75"/>
      <c r="D23" s="53"/>
      <c r="E23" s="53"/>
      <c r="F23" s="53"/>
      <c r="G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2" s="72" customFormat="1" ht="25.5">
      <c r="B24" s="53"/>
      <c r="C24" s="75"/>
      <c r="D24" s="53" t="s">
        <v>130</v>
      </c>
      <c r="E24" s="160" t="s">
        <v>231</v>
      </c>
      <c r="F24" s="53"/>
      <c r="G24" s="53"/>
      <c r="I24" s="77"/>
      <c r="J24" s="77"/>
      <c r="K24" s="77"/>
      <c r="L24" s="77"/>
      <c r="M24" s="77"/>
      <c r="N24" s="77"/>
      <c r="O24" s="77">
        <v>0.03</v>
      </c>
      <c r="P24" s="77">
        <v>0.03</v>
      </c>
      <c r="Q24" s="77">
        <v>0.03</v>
      </c>
      <c r="R24" s="77">
        <v>0.03</v>
      </c>
      <c r="S24" s="77">
        <v>0.03</v>
      </c>
      <c r="T24" s="77">
        <v>0.03</v>
      </c>
      <c r="U24" s="77">
        <v>0.03</v>
      </c>
    </row>
    <row r="25" spans="2:22" s="72" customFormat="1" ht="12.75">
      <c r="B25" s="53"/>
      <c r="C25" s="75"/>
      <c r="D25" s="53"/>
      <c r="E25" s="53"/>
      <c r="F25" s="53"/>
      <c r="G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2" s="72" customFormat="1" ht="12.75">
      <c r="B26" s="53"/>
      <c r="C26" s="75" t="s">
        <v>131</v>
      </c>
      <c r="D26" s="53"/>
      <c r="E26" s="53"/>
      <c r="F26" s="53"/>
      <c r="G26" s="53"/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/>
      <c r="O26" s="74"/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3" t="s">
        <v>132</v>
      </c>
    </row>
    <row r="27" spans="2:22" s="50" customFormat="1" ht="12.75" customHeight="1">
      <c r="B27" s="54"/>
      <c r="C27" s="71"/>
      <c r="D27" s="54"/>
      <c r="E27" s="54"/>
      <c r="F27" s="54"/>
      <c r="G27" s="54"/>
      <c r="I27" s="69" t="s">
        <v>115</v>
      </c>
      <c r="J27" s="69" t="s">
        <v>115</v>
      </c>
      <c r="K27" s="69" t="s">
        <v>115</v>
      </c>
      <c r="L27" s="69" t="s">
        <v>115</v>
      </c>
      <c r="M27" s="69" t="s">
        <v>115</v>
      </c>
      <c r="N27" s="69" t="s">
        <v>115</v>
      </c>
      <c r="O27" s="69" t="s">
        <v>115</v>
      </c>
      <c r="P27" s="69" t="s">
        <v>115</v>
      </c>
      <c r="Q27" s="69" t="s">
        <v>115</v>
      </c>
      <c r="R27" s="69" t="s">
        <v>115</v>
      </c>
      <c r="S27" s="69" t="s">
        <v>115</v>
      </c>
      <c r="T27" s="69" t="s">
        <v>115</v>
      </c>
      <c r="U27" s="69" t="s">
        <v>115</v>
      </c>
      <c r="V27" s="51"/>
    </row>
    <row r="28" spans="2:22" s="50" customFormat="1" ht="12.75" customHeight="1">
      <c r="B28" s="54"/>
      <c r="D28" s="54"/>
      <c r="E28" s="70" t="s">
        <v>133</v>
      </c>
      <c r="F28" s="70"/>
      <c r="G28" s="7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1"/>
    </row>
    <row r="29" spans="2:22" ht="12.75" customHeight="1">
      <c r="B29" s="67">
        <v>1</v>
      </c>
      <c r="C29" s="65"/>
      <c r="D29" s="64" t="s">
        <v>117</v>
      </c>
      <c r="E29" s="63" t="s">
        <v>118</v>
      </c>
      <c r="F29" s="63"/>
      <c r="G29" s="63"/>
      <c r="H29" s="67">
        <v>0</v>
      </c>
      <c r="I29" s="66">
        <f t="shared" ref="I29:U29" si="2">IF(I11&lt;&gt;0,I11,H29*SUM(1,I$24))</f>
        <v>242.5</v>
      </c>
      <c r="J29" s="66">
        <f t="shared" si="2"/>
        <v>249.5</v>
      </c>
      <c r="K29" s="66">
        <f t="shared" si="2"/>
        <v>255.7</v>
      </c>
      <c r="L29" s="66">
        <f t="shared" si="2"/>
        <v>258</v>
      </c>
      <c r="M29" s="66">
        <f t="shared" si="2"/>
        <v>261.39999999999998</v>
      </c>
      <c r="N29" s="66">
        <f t="shared" si="2"/>
        <v>270.60000000000002</v>
      </c>
      <c r="O29" s="66">
        <f t="shared" si="2"/>
        <v>279.7</v>
      </c>
      <c r="P29" s="66">
        <f t="shared" si="2"/>
        <v>288.09100000000001</v>
      </c>
      <c r="Q29" s="66">
        <f t="shared" si="2"/>
        <v>296.73373000000004</v>
      </c>
      <c r="R29" s="66">
        <f t="shared" si="2"/>
        <v>305.63574190000003</v>
      </c>
      <c r="S29" s="66">
        <f t="shared" si="2"/>
        <v>314.80481415700001</v>
      </c>
      <c r="T29" s="66">
        <f t="shared" si="2"/>
        <v>324.24895858171004</v>
      </c>
      <c r="U29" s="66">
        <f t="shared" si="2"/>
        <v>333.97642733916138</v>
      </c>
    </row>
    <row r="30" spans="2:22" ht="12.75" customHeight="1">
      <c r="B30" s="67">
        <v>2</v>
      </c>
      <c r="C30" s="65"/>
      <c r="D30" s="64" t="s">
        <v>117</v>
      </c>
      <c r="E30" s="63" t="s">
        <v>119</v>
      </c>
      <c r="F30" s="63"/>
      <c r="G30" s="63"/>
      <c r="H30" s="67">
        <v>0</v>
      </c>
      <c r="I30" s="66">
        <f t="shared" ref="I30:U30" si="3">IF(I12&lt;&gt;0,I12,H30*SUM(1,I$24))</f>
        <v>242.4</v>
      </c>
      <c r="J30" s="66">
        <f t="shared" si="3"/>
        <v>250</v>
      </c>
      <c r="K30" s="66">
        <f t="shared" si="3"/>
        <v>255.9</v>
      </c>
      <c r="L30" s="66">
        <f t="shared" si="3"/>
        <v>258.5</v>
      </c>
      <c r="M30" s="66">
        <f t="shared" si="3"/>
        <v>262.10000000000002</v>
      </c>
      <c r="N30" s="66">
        <f t="shared" si="3"/>
        <v>271.7</v>
      </c>
      <c r="O30" s="66">
        <f t="shared" si="3"/>
        <v>279.851</v>
      </c>
      <c r="P30" s="66">
        <f t="shared" si="3"/>
        <v>288.24653000000001</v>
      </c>
      <c r="Q30" s="66">
        <f t="shared" si="3"/>
        <v>296.8939259</v>
      </c>
      <c r="R30" s="66">
        <f t="shared" si="3"/>
        <v>305.80074367700001</v>
      </c>
      <c r="S30" s="66">
        <f t="shared" si="3"/>
        <v>314.97476598731004</v>
      </c>
      <c r="T30" s="66">
        <f t="shared" si="3"/>
        <v>324.42400896692936</v>
      </c>
      <c r="U30" s="66">
        <f t="shared" si="3"/>
        <v>334.15672923593723</v>
      </c>
    </row>
    <row r="31" spans="2:22" ht="12.75" customHeight="1">
      <c r="B31" s="67">
        <v>3</v>
      </c>
      <c r="C31" s="65"/>
      <c r="D31" s="64" t="s">
        <v>117</v>
      </c>
      <c r="E31" s="63" t="s">
        <v>120</v>
      </c>
      <c r="F31" s="63"/>
      <c r="G31" s="63"/>
      <c r="H31" s="67">
        <v>0</v>
      </c>
      <c r="I31" s="66">
        <f t="shared" ref="I31:U31" si="4">IF(I13&lt;&gt;0,I13,H31*SUM(1,I$24))</f>
        <v>241.8</v>
      </c>
      <c r="J31" s="66">
        <f t="shared" si="4"/>
        <v>249.7</v>
      </c>
      <c r="K31" s="66">
        <f t="shared" si="4"/>
        <v>256.3</v>
      </c>
      <c r="L31" s="66">
        <f t="shared" si="4"/>
        <v>258.89999999999998</v>
      </c>
      <c r="M31" s="66">
        <f t="shared" si="4"/>
        <v>263.10000000000002</v>
      </c>
      <c r="N31" s="66">
        <f t="shared" si="4"/>
        <v>272.3</v>
      </c>
      <c r="O31" s="66">
        <f t="shared" si="4"/>
        <v>280.46899999999999</v>
      </c>
      <c r="P31" s="66">
        <f t="shared" si="4"/>
        <v>288.88306999999998</v>
      </c>
      <c r="Q31" s="66">
        <f t="shared" si="4"/>
        <v>297.5495621</v>
      </c>
      <c r="R31" s="66">
        <f t="shared" si="4"/>
        <v>306.47604896299998</v>
      </c>
      <c r="S31" s="66">
        <f t="shared" si="4"/>
        <v>315.67033043188997</v>
      </c>
      <c r="T31" s="66">
        <f t="shared" si="4"/>
        <v>325.1404403448467</v>
      </c>
      <c r="U31" s="66">
        <f t="shared" si="4"/>
        <v>334.89465355519212</v>
      </c>
    </row>
    <row r="32" spans="2:22" ht="12.75" customHeight="1">
      <c r="B32" s="67">
        <v>4</v>
      </c>
      <c r="C32" s="65"/>
      <c r="D32" s="64" t="s">
        <v>117</v>
      </c>
      <c r="E32" s="63" t="s">
        <v>121</v>
      </c>
      <c r="F32" s="63"/>
      <c r="G32" s="63"/>
      <c r="H32" s="67">
        <v>0</v>
      </c>
      <c r="I32" s="66">
        <f t="shared" ref="I32:U32" si="5">IF(I14&lt;&gt;0,I14,H32*SUM(1,I$24))</f>
        <v>242.1</v>
      </c>
      <c r="J32" s="66">
        <f t="shared" si="5"/>
        <v>249.7</v>
      </c>
      <c r="K32" s="66">
        <f t="shared" si="5"/>
        <v>256</v>
      </c>
      <c r="L32" s="66">
        <f t="shared" si="5"/>
        <v>258.60000000000002</v>
      </c>
      <c r="M32" s="66">
        <f t="shared" si="5"/>
        <v>263.39999999999998</v>
      </c>
      <c r="N32" s="66">
        <f t="shared" si="5"/>
        <v>272.89999999999998</v>
      </c>
      <c r="O32" s="66">
        <f t="shared" si="5"/>
        <v>281.08699999999999</v>
      </c>
      <c r="P32" s="66">
        <f t="shared" si="5"/>
        <v>289.51961</v>
      </c>
      <c r="Q32" s="66">
        <f t="shared" si="5"/>
        <v>298.20519830000001</v>
      </c>
      <c r="R32" s="66">
        <f t="shared" si="5"/>
        <v>307.15135424900001</v>
      </c>
      <c r="S32" s="66">
        <f t="shared" si="5"/>
        <v>316.36589487647001</v>
      </c>
      <c r="T32" s="66">
        <f t="shared" si="5"/>
        <v>325.85687172276414</v>
      </c>
      <c r="U32" s="66">
        <f t="shared" si="5"/>
        <v>335.63257787444707</v>
      </c>
    </row>
    <row r="33" spans="2:22" ht="12.75" customHeight="1">
      <c r="B33" s="67">
        <v>5</v>
      </c>
      <c r="C33" s="65"/>
      <c r="D33" s="64" t="s">
        <v>117</v>
      </c>
      <c r="E33" s="63" t="s">
        <v>122</v>
      </c>
      <c r="F33" s="63"/>
      <c r="G33" s="63"/>
      <c r="H33" s="67">
        <v>0</v>
      </c>
      <c r="I33" s="66">
        <f t="shared" ref="I33:U33" si="6">IF(I15&lt;&gt;0,I15,H33*SUM(1,I$24))</f>
        <v>243</v>
      </c>
      <c r="J33" s="66">
        <f t="shared" si="6"/>
        <v>251</v>
      </c>
      <c r="K33" s="66">
        <f t="shared" si="6"/>
        <v>257</v>
      </c>
      <c r="L33" s="66">
        <f t="shared" si="6"/>
        <v>259.8</v>
      </c>
      <c r="M33" s="66">
        <f t="shared" si="6"/>
        <v>264.39999999999998</v>
      </c>
      <c r="N33" s="66">
        <f t="shared" si="6"/>
        <v>274.7</v>
      </c>
      <c r="O33" s="66">
        <f t="shared" si="6"/>
        <v>282.94099999999997</v>
      </c>
      <c r="P33" s="66">
        <f t="shared" si="6"/>
        <v>291.42922999999996</v>
      </c>
      <c r="Q33" s="66">
        <f t="shared" si="6"/>
        <v>300.17210689999996</v>
      </c>
      <c r="R33" s="66">
        <f t="shared" si="6"/>
        <v>309.17727010699997</v>
      </c>
      <c r="S33" s="66">
        <f t="shared" si="6"/>
        <v>318.45258821020997</v>
      </c>
      <c r="T33" s="66">
        <f t="shared" si="6"/>
        <v>328.00616585651625</v>
      </c>
      <c r="U33" s="66">
        <f t="shared" si="6"/>
        <v>337.84635083221173</v>
      </c>
    </row>
    <row r="34" spans="2:22" ht="12.75" customHeight="1">
      <c r="B34" s="67">
        <v>6</v>
      </c>
      <c r="C34" s="65"/>
      <c r="D34" s="64" t="s">
        <v>117</v>
      </c>
      <c r="E34" s="63" t="s">
        <v>123</v>
      </c>
      <c r="F34" s="63"/>
      <c r="G34" s="63"/>
      <c r="H34" s="67">
        <v>0</v>
      </c>
      <c r="I34" s="66">
        <f t="shared" ref="I34:U34" si="7">IF(I16&lt;&gt;0,I16,H34*SUM(1,I$24))</f>
        <v>244.2</v>
      </c>
      <c r="J34" s="66">
        <f t="shared" si="7"/>
        <v>251.9</v>
      </c>
      <c r="K34" s="66">
        <f t="shared" si="7"/>
        <v>257.60000000000002</v>
      </c>
      <c r="L34" s="66">
        <f t="shared" si="7"/>
        <v>259.60000000000002</v>
      </c>
      <c r="M34" s="66">
        <f t="shared" si="7"/>
        <v>264.89999999999998</v>
      </c>
      <c r="N34" s="66">
        <f t="shared" si="7"/>
        <v>275.10000000000002</v>
      </c>
      <c r="O34" s="66">
        <f t="shared" si="7"/>
        <v>283.35300000000001</v>
      </c>
      <c r="P34" s="66">
        <f t="shared" si="7"/>
        <v>291.85359</v>
      </c>
      <c r="Q34" s="66">
        <f t="shared" si="7"/>
        <v>300.60919769999998</v>
      </c>
      <c r="R34" s="66">
        <f t="shared" si="7"/>
        <v>309.62747363099999</v>
      </c>
      <c r="S34" s="66">
        <f t="shared" si="7"/>
        <v>318.91629783993</v>
      </c>
      <c r="T34" s="66">
        <f t="shared" si="7"/>
        <v>328.4837867751279</v>
      </c>
      <c r="U34" s="66">
        <f t="shared" si="7"/>
        <v>338.33830037838175</v>
      </c>
    </row>
    <row r="35" spans="2:22" ht="12.75" customHeight="1">
      <c r="B35" s="67">
        <v>7</v>
      </c>
      <c r="C35" s="65"/>
      <c r="D35" s="64" t="s">
        <v>117</v>
      </c>
      <c r="E35" s="63" t="s">
        <v>124</v>
      </c>
      <c r="F35" s="63"/>
      <c r="G35" s="63"/>
      <c r="H35" s="67">
        <v>0</v>
      </c>
      <c r="I35" s="66">
        <f t="shared" ref="I35:U35" si="8">IF(I17&lt;&gt;0,I17,H35*SUM(1,I$24))</f>
        <v>245.6</v>
      </c>
      <c r="J35" s="66">
        <f t="shared" si="8"/>
        <v>251.9</v>
      </c>
      <c r="K35" s="66">
        <f t="shared" si="8"/>
        <v>257.7</v>
      </c>
      <c r="L35" s="66">
        <f t="shared" si="8"/>
        <v>259.5</v>
      </c>
      <c r="M35" s="66">
        <f t="shared" si="8"/>
        <v>264.8</v>
      </c>
      <c r="N35" s="66">
        <f t="shared" si="8"/>
        <v>275.3</v>
      </c>
      <c r="O35" s="66">
        <f t="shared" si="8"/>
        <v>283.55900000000003</v>
      </c>
      <c r="P35" s="66">
        <f t="shared" si="8"/>
        <v>292.06577000000004</v>
      </c>
      <c r="Q35" s="66">
        <f t="shared" si="8"/>
        <v>300.82774310000008</v>
      </c>
      <c r="R35" s="66">
        <f t="shared" si="8"/>
        <v>309.85257539300011</v>
      </c>
      <c r="S35" s="66">
        <f t="shared" si="8"/>
        <v>319.14815265479012</v>
      </c>
      <c r="T35" s="66">
        <f t="shared" si="8"/>
        <v>328.72259723443386</v>
      </c>
      <c r="U35" s="66">
        <f t="shared" si="8"/>
        <v>338.5842751514669</v>
      </c>
    </row>
    <row r="36" spans="2:22" ht="12.75" customHeight="1">
      <c r="B36" s="67">
        <v>8</v>
      </c>
      <c r="C36" s="65"/>
      <c r="D36" s="64" t="s">
        <v>117</v>
      </c>
      <c r="E36" s="63" t="s">
        <v>125</v>
      </c>
      <c r="F36" s="63"/>
      <c r="G36" s="63"/>
      <c r="H36" s="68">
        <f>H18</f>
        <v>238.5</v>
      </c>
      <c r="I36" s="66">
        <f t="shared" ref="I36:U36" si="9">IF(I18&lt;&gt;0,I18,H36*SUM(1,I$24))</f>
        <v>245.6</v>
      </c>
      <c r="J36" s="66">
        <f t="shared" si="9"/>
        <v>252.1</v>
      </c>
      <c r="K36" s="66">
        <f t="shared" si="9"/>
        <v>257.10000000000002</v>
      </c>
      <c r="L36" s="66">
        <f t="shared" si="9"/>
        <v>259.8</v>
      </c>
      <c r="M36" s="130">
        <f t="shared" si="9"/>
        <v>265.5</v>
      </c>
      <c r="N36" s="66">
        <f t="shared" si="9"/>
        <v>275.8</v>
      </c>
      <c r="O36" s="66">
        <f t="shared" si="9"/>
        <v>284.07400000000001</v>
      </c>
      <c r="P36" s="66">
        <f t="shared" si="9"/>
        <v>292.59622000000002</v>
      </c>
      <c r="Q36" s="66">
        <f t="shared" si="9"/>
        <v>301.3741066</v>
      </c>
      <c r="R36" s="66">
        <f t="shared" si="9"/>
        <v>310.41532979800002</v>
      </c>
      <c r="S36" s="66">
        <f t="shared" si="9"/>
        <v>319.72778969194002</v>
      </c>
      <c r="T36" s="66">
        <f t="shared" si="9"/>
        <v>329.31962338269824</v>
      </c>
      <c r="U36" s="66">
        <f t="shared" si="9"/>
        <v>339.19921208417918</v>
      </c>
    </row>
    <row r="37" spans="2:22" ht="12.75" customHeight="1">
      <c r="B37" s="67">
        <v>9</v>
      </c>
      <c r="C37" s="65"/>
      <c r="D37" s="64" t="s">
        <v>117</v>
      </c>
      <c r="E37" s="63" t="s">
        <v>126</v>
      </c>
      <c r="F37" s="63"/>
      <c r="G37" s="63"/>
      <c r="H37" s="67">
        <v>0</v>
      </c>
      <c r="I37" s="66">
        <f t="shared" ref="I37:U37" si="10">IF(I19&lt;&gt;0,I19,H37*SUM(1,I$24))</f>
        <v>246.8</v>
      </c>
      <c r="J37" s="66">
        <f t="shared" si="10"/>
        <v>253.4</v>
      </c>
      <c r="K37" s="66">
        <f t="shared" si="10"/>
        <v>257.5</v>
      </c>
      <c r="L37" s="66">
        <f t="shared" si="10"/>
        <v>260.60000000000002</v>
      </c>
      <c r="M37" s="66">
        <f t="shared" si="10"/>
        <v>267.10000000000002</v>
      </c>
      <c r="N37" s="66">
        <f t="shared" si="10"/>
        <v>278.10000000000002</v>
      </c>
      <c r="O37" s="66">
        <f t="shared" si="10"/>
        <v>286.44300000000004</v>
      </c>
      <c r="P37" s="66">
        <f t="shared" si="10"/>
        <v>295.03629000000006</v>
      </c>
      <c r="Q37" s="66">
        <f t="shared" si="10"/>
        <v>303.88737870000006</v>
      </c>
      <c r="R37" s="66">
        <f t="shared" si="10"/>
        <v>313.00400006100006</v>
      </c>
      <c r="S37" s="66">
        <f t="shared" si="10"/>
        <v>322.39412006283004</v>
      </c>
      <c r="T37" s="66">
        <f t="shared" si="10"/>
        <v>332.06594366471495</v>
      </c>
      <c r="U37" s="66">
        <f t="shared" si="10"/>
        <v>342.02792197465641</v>
      </c>
    </row>
    <row r="38" spans="2:22" ht="12.75" customHeight="1">
      <c r="B38" s="67">
        <v>10</v>
      </c>
      <c r="C38" s="65"/>
      <c r="D38" s="64" t="s">
        <v>117</v>
      </c>
      <c r="E38" s="63" t="s">
        <v>127</v>
      </c>
      <c r="F38" s="63"/>
      <c r="G38" s="63"/>
      <c r="H38" s="67">
        <v>0</v>
      </c>
      <c r="I38" s="66">
        <f t="shared" ref="I38:U38" si="11">IF(I20&lt;&gt;0,I20,H38*SUM(1,I$24))</f>
        <v>245.8</v>
      </c>
      <c r="J38" s="66">
        <f t="shared" si="11"/>
        <v>252.6</v>
      </c>
      <c r="K38" s="66">
        <f t="shared" si="11"/>
        <v>255.4</v>
      </c>
      <c r="L38" s="66">
        <f t="shared" si="11"/>
        <v>258.8</v>
      </c>
      <c r="M38" s="66">
        <f t="shared" si="11"/>
        <v>265.5</v>
      </c>
      <c r="N38" s="66">
        <f t="shared" si="11"/>
        <v>276</v>
      </c>
      <c r="O38" s="66">
        <f t="shared" si="11"/>
        <v>284.28000000000003</v>
      </c>
      <c r="P38" s="66">
        <f t="shared" si="11"/>
        <v>292.80840000000006</v>
      </c>
      <c r="Q38" s="66">
        <f t="shared" si="11"/>
        <v>301.5926520000001</v>
      </c>
      <c r="R38" s="66">
        <f t="shared" si="11"/>
        <v>310.64043156000014</v>
      </c>
      <c r="S38" s="66">
        <f t="shared" si="11"/>
        <v>319.95964450680015</v>
      </c>
      <c r="T38" s="66">
        <f t="shared" si="11"/>
        <v>329.55843384200415</v>
      </c>
      <c r="U38" s="66">
        <f t="shared" si="11"/>
        <v>339.44518685726428</v>
      </c>
    </row>
    <row r="39" spans="2:22" ht="12.75" customHeight="1">
      <c r="B39" s="67">
        <v>11</v>
      </c>
      <c r="C39" s="65"/>
      <c r="D39" s="64" t="s">
        <v>117</v>
      </c>
      <c r="E39" s="63" t="s">
        <v>128</v>
      </c>
      <c r="F39" s="63"/>
      <c r="G39" s="63"/>
      <c r="H39" s="67">
        <v>0</v>
      </c>
      <c r="I39" s="66">
        <f t="shared" ref="I39:U39" si="12">IF(I21&lt;&gt;0,I21,H39*SUM(1,I$24))</f>
        <v>247.6</v>
      </c>
      <c r="J39" s="66">
        <f t="shared" si="12"/>
        <v>254.2</v>
      </c>
      <c r="K39" s="66">
        <f t="shared" si="12"/>
        <v>256.7</v>
      </c>
      <c r="L39" s="66">
        <f t="shared" si="12"/>
        <v>260</v>
      </c>
      <c r="M39" s="66">
        <f t="shared" si="12"/>
        <v>268.39999999999998</v>
      </c>
      <c r="N39" s="66">
        <f t="shared" si="12"/>
        <v>278.10000000000002</v>
      </c>
      <c r="O39" s="66">
        <f t="shared" si="12"/>
        <v>286.44300000000004</v>
      </c>
      <c r="P39" s="66">
        <f t="shared" si="12"/>
        <v>295.03629000000006</v>
      </c>
      <c r="Q39" s="66">
        <f t="shared" si="12"/>
        <v>303.88737870000006</v>
      </c>
      <c r="R39" s="66">
        <f t="shared" si="12"/>
        <v>313.00400006100006</v>
      </c>
      <c r="S39" s="66">
        <f t="shared" si="12"/>
        <v>322.39412006283004</v>
      </c>
      <c r="T39" s="66">
        <f t="shared" si="12"/>
        <v>332.06594366471495</v>
      </c>
      <c r="U39" s="66">
        <f t="shared" si="12"/>
        <v>342.02792197465641</v>
      </c>
    </row>
    <row r="40" spans="2:22" ht="12.75" customHeight="1">
      <c r="B40" s="67">
        <v>12</v>
      </c>
      <c r="C40" s="65"/>
      <c r="D40" s="64" t="s">
        <v>117</v>
      </c>
      <c r="E40" s="63" t="s">
        <v>129</v>
      </c>
      <c r="F40" s="63"/>
      <c r="G40" s="63"/>
      <c r="H40" s="67">
        <v>0</v>
      </c>
      <c r="I40" s="66">
        <f t="shared" ref="I40:U40" si="13">IF(I22&lt;&gt;0,I22,H40*SUM(1,I$24))</f>
        <v>248.7</v>
      </c>
      <c r="J40" s="66">
        <f t="shared" si="13"/>
        <v>254.8</v>
      </c>
      <c r="K40" s="66">
        <f t="shared" si="13"/>
        <v>257.10000000000002</v>
      </c>
      <c r="L40" s="66">
        <f t="shared" si="13"/>
        <v>261.10000000000002</v>
      </c>
      <c r="M40" s="66">
        <f t="shared" si="13"/>
        <v>269.3</v>
      </c>
      <c r="N40" s="66">
        <f t="shared" si="13"/>
        <v>278.3</v>
      </c>
      <c r="O40" s="66">
        <f t="shared" si="13"/>
        <v>286.649</v>
      </c>
      <c r="P40" s="66">
        <f t="shared" si="13"/>
        <v>295.24847</v>
      </c>
      <c r="Q40" s="66">
        <f t="shared" si="13"/>
        <v>304.10592409999998</v>
      </c>
      <c r="R40" s="66">
        <f t="shared" si="13"/>
        <v>313.22910182300001</v>
      </c>
      <c r="S40" s="66">
        <f t="shared" si="13"/>
        <v>322.62597487769</v>
      </c>
      <c r="T40" s="66">
        <f t="shared" si="13"/>
        <v>332.30475412402069</v>
      </c>
      <c r="U40" s="66">
        <f t="shared" si="13"/>
        <v>342.27389674774133</v>
      </c>
    </row>
    <row r="41" spans="2:22" ht="12.75" customHeight="1">
      <c r="B41" s="65"/>
      <c r="C41" s="65"/>
      <c r="D41" s="64" t="s">
        <v>117</v>
      </c>
      <c r="E41" s="63" t="s">
        <v>134</v>
      </c>
      <c r="F41" s="63"/>
      <c r="G41" s="63"/>
      <c r="I41" s="62">
        <f t="shared" ref="I41:U41" si="14">IF(SUM(I29:I40)=0,0,AVERAGE(I29:I40))</f>
        <v>244.67499999999998</v>
      </c>
      <c r="J41" s="61">
        <f t="shared" si="14"/>
        <v>251.73333333333335</v>
      </c>
      <c r="K41" s="61">
        <f t="shared" si="14"/>
        <v>256.66666666666669</v>
      </c>
      <c r="L41" s="62">
        <f t="shared" si="14"/>
        <v>259.43333333333334</v>
      </c>
      <c r="M41" s="61">
        <f t="shared" si="14"/>
        <v>264.99166666666673</v>
      </c>
      <c r="N41" s="61">
        <f t="shared" si="14"/>
        <v>274.90833333333336</v>
      </c>
      <c r="O41" s="61">
        <f t="shared" si="14"/>
        <v>283.23741666666672</v>
      </c>
      <c r="P41" s="61">
        <f t="shared" si="14"/>
        <v>291.73453916666665</v>
      </c>
      <c r="Q41" s="61">
        <f t="shared" si="14"/>
        <v>300.48657534166671</v>
      </c>
      <c r="R41" s="61">
        <f t="shared" si="14"/>
        <v>309.50117260191672</v>
      </c>
      <c r="S41" s="61">
        <f t="shared" si="14"/>
        <v>318.78620777997418</v>
      </c>
      <c r="T41" s="61">
        <f t="shared" si="14"/>
        <v>328.34979401337347</v>
      </c>
      <c r="U41" s="61">
        <f t="shared" si="14"/>
        <v>338.20028783377461</v>
      </c>
    </row>
    <row r="42" spans="2:22" s="50" customFormat="1" ht="12.75" customHeight="1">
      <c r="B42" s="54"/>
      <c r="V42" s="51"/>
    </row>
    <row r="43" spans="2:22" s="50" customFormat="1" ht="12.75" customHeight="1">
      <c r="E43" s="60"/>
      <c r="F43" s="60"/>
      <c r="G43" s="60"/>
      <c r="V43" s="51"/>
    </row>
    <row r="44" spans="2:22" s="50" customFormat="1" ht="12.75" customHeight="1">
      <c r="B44" s="54"/>
      <c r="D44" s="53"/>
      <c r="E44" s="58"/>
      <c r="F44" s="58"/>
      <c r="G44" s="58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51"/>
    </row>
    <row r="45" spans="2:22" s="50" customFormat="1" ht="12.75" customHeight="1">
      <c r="B45" s="54"/>
      <c r="C45" s="56"/>
      <c r="D45" s="53"/>
      <c r="E45" s="55"/>
      <c r="F45" s="55"/>
      <c r="G45" s="55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1"/>
    </row>
    <row r="46" spans="2:22" s="50" customFormat="1" ht="12.75" customHeight="1">
      <c r="B46" s="54"/>
      <c r="C46" s="56"/>
      <c r="D46" s="53"/>
      <c r="E46" s="55"/>
      <c r="F46" s="55"/>
      <c r="G46" s="55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1"/>
    </row>
    <row r="47" spans="2:22" s="50" customFormat="1" ht="12.75" customHeight="1">
      <c r="B47" s="54"/>
      <c r="E47" s="60" t="s">
        <v>138</v>
      </c>
      <c r="F47" s="59"/>
      <c r="G47" s="59"/>
    </row>
    <row r="48" spans="2:22" s="50" customFormat="1" ht="12.75" customHeight="1">
      <c r="B48" s="54"/>
      <c r="D48" s="53" t="s">
        <v>135</v>
      </c>
      <c r="E48" s="58" t="s">
        <v>136</v>
      </c>
      <c r="F48" s="58"/>
      <c r="G48" s="58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 t="s">
        <v>139</v>
      </c>
    </row>
    <row r="49" spans="1:22" s="50" customFormat="1" ht="12.75" customHeight="1">
      <c r="B49" s="54"/>
      <c r="D49" s="53" t="s">
        <v>130</v>
      </c>
      <c r="E49" s="55" t="s">
        <v>137</v>
      </c>
      <c r="F49" s="58"/>
      <c r="G49" s="58"/>
      <c r="I49" s="52">
        <f t="shared" ref="I49:U49" si="15">IF(Indexation.November.Actual.Override&lt;&gt;"",Indexation.November.Actual.Override,IF($H$36=0,0,H36/$H$36))</f>
        <v>1</v>
      </c>
      <c r="J49" s="52">
        <f t="shared" si="15"/>
        <v>1.0297693920335429</v>
      </c>
      <c r="K49" s="52">
        <f t="shared" si="15"/>
        <v>1.0570230607966458</v>
      </c>
      <c r="L49" s="52">
        <f t="shared" si="15"/>
        <v>1.077987421383648</v>
      </c>
      <c r="M49" s="52">
        <f t="shared" si="15"/>
        <v>1.0893081761006289</v>
      </c>
      <c r="N49" s="52">
        <f t="shared" si="15"/>
        <v>1.1132075471698113</v>
      </c>
      <c r="O49" s="52">
        <f t="shared" si="15"/>
        <v>1.1563941299790357</v>
      </c>
      <c r="P49" s="52">
        <f t="shared" si="15"/>
        <v>1.1910859538784067</v>
      </c>
      <c r="Q49" s="52">
        <f t="shared" si="15"/>
        <v>1.2268185324947589</v>
      </c>
      <c r="R49" s="52">
        <f t="shared" si="15"/>
        <v>1.2636230884696018</v>
      </c>
      <c r="S49" s="52">
        <f t="shared" si="15"/>
        <v>1.3015317811236897</v>
      </c>
      <c r="T49" s="52">
        <f t="shared" si="15"/>
        <v>1.3405777345574006</v>
      </c>
      <c r="U49" s="52">
        <f t="shared" si="15"/>
        <v>1.3807950665941227</v>
      </c>
      <c r="V49" s="51" t="s">
        <v>140</v>
      </c>
    </row>
    <row r="50" spans="1:22" s="102" customFormat="1" ht="12.75" customHeight="1">
      <c r="A50" s="50"/>
      <c r="B50" s="54"/>
      <c r="C50" s="56"/>
      <c r="D50" s="53"/>
      <c r="E50" s="55"/>
      <c r="F50" s="55"/>
      <c r="G50" s="55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</row>
    <row r="51" spans="1:22" s="102" customFormat="1" ht="12.75" customHeight="1">
      <c r="A51" s="50"/>
      <c r="B51" s="54"/>
      <c r="C51" s="50"/>
      <c r="D51" s="53" t="s">
        <v>130</v>
      </c>
      <c r="E51" s="60" t="s">
        <v>141</v>
      </c>
      <c r="F51" s="55"/>
      <c r="G51" s="55"/>
      <c r="H51" s="50"/>
      <c r="I51" s="52"/>
      <c r="J51" s="52">
        <f t="shared" ref="J51:U51" si="16">IF(Indexation.November.Actual.Override&lt;&gt;"",IF(I48=0,0,J48/I48),IF(H36=0,0,I36/H36))</f>
        <v>1.0297693920335429</v>
      </c>
      <c r="K51" s="52">
        <f t="shared" si="16"/>
        <v>1.0264657980456027</v>
      </c>
      <c r="L51" s="52">
        <f t="shared" si="16"/>
        <v>1.0198333994446649</v>
      </c>
      <c r="M51" s="52">
        <f t="shared" si="16"/>
        <v>1.0105017502917153</v>
      </c>
      <c r="N51" s="52">
        <f t="shared" si="16"/>
        <v>1.0219399538106235</v>
      </c>
      <c r="O51" s="52">
        <f t="shared" si="16"/>
        <v>1.0387947269303202</v>
      </c>
      <c r="P51" s="52">
        <f t="shared" si="16"/>
        <v>1.03</v>
      </c>
      <c r="Q51" s="52">
        <f t="shared" si="16"/>
        <v>1.03</v>
      </c>
      <c r="R51" s="52">
        <f t="shared" si="16"/>
        <v>1.03</v>
      </c>
      <c r="S51" s="52">
        <f t="shared" si="16"/>
        <v>1.03</v>
      </c>
      <c r="T51" s="52">
        <f t="shared" si="16"/>
        <v>1.03</v>
      </c>
      <c r="U51" s="52">
        <f t="shared" si="16"/>
        <v>1.03</v>
      </c>
      <c r="V51" s="51" t="s">
        <v>142</v>
      </c>
    </row>
    <row r="52" spans="1:22" ht="12.75" customHeight="1">
      <c r="A52" s="50"/>
      <c r="B52" s="54"/>
      <c r="C52" s="56"/>
      <c r="D52" s="53"/>
      <c r="E52" s="55"/>
      <c r="F52" s="55"/>
      <c r="G52" s="55"/>
      <c r="H52" s="50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</row>
    <row r="53" spans="1:22" s="102" customFormat="1" ht="12.75" customHeight="1">
      <c r="A53" s="50"/>
      <c r="B53" s="54"/>
      <c r="C53" s="56"/>
      <c r="D53" s="53"/>
      <c r="E53" s="55"/>
      <c r="F53" s="55"/>
      <c r="G53" s="55"/>
      <c r="H53" s="50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1"/>
    </row>
    <row r="54" spans="1:22" s="50" customFormat="1" ht="12.75" customHeight="1">
      <c r="B54" s="54"/>
      <c r="E54" s="59"/>
      <c r="F54" s="59"/>
      <c r="G54" s="59"/>
    </row>
    <row r="55" spans="1:22" s="50" customFormat="1" ht="12.75" customHeight="1">
      <c r="B55" s="54"/>
      <c r="D55" s="53"/>
      <c r="E55" s="58"/>
      <c r="F55" s="58"/>
      <c r="G55" s="58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51"/>
    </row>
    <row r="56" spans="1:22" s="50" customFormat="1" ht="12.75" customHeight="1">
      <c r="B56" s="54"/>
      <c r="C56" s="56"/>
      <c r="D56" s="53"/>
      <c r="E56" s="55"/>
      <c r="F56" s="55"/>
      <c r="G56" s="55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1"/>
    </row>
    <row r="57" spans="1:22" s="50" customFormat="1" ht="12.75" customHeight="1">
      <c r="B57" s="54"/>
      <c r="C57" s="56"/>
      <c r="D57" s="53"/>
      <c r="E57" s="55"/>
      <c r="F57" s="55"/>
      <c r="G57" s="55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1"/>
    </row>
    <row r="58" spans="1:22" s="50" customFormat="1" ht="12.75" customHeight="1">
      <c r="B58" s="54"/>
      <c r="C58" s="162"/>
      <c r="D58" s="53"/>
      <c r="E58" s="163"/>
      <c r="F58" s="163"/>
      <c r="G58" s="16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1"/>
    </row>
    <row r="59" spans="1:22" s="102" customFormat="1" ht="12.75" customHeight="1" thickBot="1">
      <c r="V59" s="164"/>
    </row>
    <row r="60" spans="1:22" ht="12.75" customHeight="1" thickBot="1">
      <c r="A60" s="49" t="s">
        <v>111</v>
      </c>
      <c r="B60" s="47"/>
      <c r="C60" s="47"/>
      <c r="D60" s="47"/>
      <c r="E60" s="48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6"/>
    </row>
    <row r="61" spans="1:22" ht="12.75" customHeight="1">
      <c r="I61" s="102"/>
    </row>
    <row r="62" spans="1:22" ht="12.75" hidden="1" customHeight="1">
      <c r="J62" s="102"/>
      <c r="L62" s="102"/>
    </row>
    <row r="63" spans="1:22" ht="12.75" hidden="1" customHeight="1"/>
    <row r="64" spans="1:22" ht="12.75" hidden="1" customHeight="1"/>
    <row r="65" ht="12.75" hidden="1" customHeight="1"/>
  </sheetData>
  <sheetProtection algorithmName="SHA-512" hashValue="STFlWjdewUqvCYMw/v8uA3fmTZ7O/rYVw5zkctjq0KVK39ce576fQzbRZ1RRp7L8qWAwX5sdEYrupnZ8e6Et1A==" saltValue="58SpHJfnDYQQzh/AxBmYqw==" spinCount="100000" sheet="1" objects="1" scenarios="1"/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W174"/>
  <sheetViews>
    <sheetView showGridLines="0" zoomScale="90" zoomScaleNormal="90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P76" sqref="P76"/>
    </sheetView>
  </sheetViews>
  <sheetFormatPr defaultColWidth="0" defaultRowHeight="12.75" zeroHeight="1"/>
  <cols>
    <col min="1" max="3" width="2.5703125" customWidth="1"/>
    <col min="4" max="4" width="9.140625" customWidth="1"/>
    <col min="5" max="5" width="68.85546875" customWidth="1"/>
    <col min="6" max="6" width="15.5703125" style="42" customWidth="1"/>
    <col min="7" max="7" width="7.85546875" customWidth="1"/>
    <col min="8" max="8" width="11.85546875" customWidth="1"/>
    <col min="9" max="15" width="10.5703125" customWidth="1"/>
    <col min="16" max="16" width="11.28515625" bestFit="1" customWidth="1"/>
    <col min="17" max="21" width="10.5703125" customWidth="1"/>
    <col min="22" max="22" width="26.425781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143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40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40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4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40"/>
      <c r="G5" s="16"/>
      <c r="H5" s="16"/>
      <c r="I5" s="14">
        <f t="shared" ref="I5:U5" si="1">Calendar.Years</f>
        <v>2012</v>
      </c>
      <c r="J5" s="14">
        <f t="shared" si="1"/>
        <v>2013</v>
      </c>
      <c r="K5" s="34">
        <f t="shared" si="1"/>
        <v>2014</v>
      </c>
      <c r="L5" s="14">
        <f t="shared" si="1"/>
        <v>2015</v>
      </c>
      <c r="M5" s="3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40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5">
      <c r="A8" s="134"/>
      <c r="B8" s="8"/>
      <c r="C8" s="8"/>
      <c r="D8" s="138"/>
      <c r="E8" s="135" t="s">
        <v>144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3" customFormat="1">
      <c r="A9" s="16"/>
      <c r="B9" s="16"/>
      <c r="C9" s="16"/>
      <c r="D9" s="17"/>
      <c r="E9" s="16"/>
      <c r="F9" s="40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40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40"/>
      <c r="G11" s="16"/>
      <c r="H11" s="16"/>
      <c r="I11" s="16"/>
      <c r="J11" s="16"/>
      <c r="K11" s="16"/>
      <c r="L11" s="16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K.Water</f>
        <v>0</v>
      </c>
      <c r="M12" s="31">
        <f>K.Water</f>
        <v>0.84</v>
      </c>
      <c r="N12" s="31">
        <f>K.Water</f>
        <v>0.35</v>
      </c>
      <c r="O12" s="31">
        <f>K.Water</f>
        <v>0.06</v>
      </c>
      <c r="P12" s="31">
        <f>K.Water</f>
        <v>0.06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3.0000000000000027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1.0189017502917153</v>
      </c>
      <c r="N14" s="31">
        <f t="shared" ref="N14:P14" si="2">1+(N13+N12)/100</f>
        <v>1.0254399538106236</v>
      </c>
      <c r="O14" s="31">
        <f t="shared" si="2"/>
        <v>1.0393947269303201</v>
      </c>
      <c r="P14" s="31">
        <f t="shared" si="2"/>
        <v>1.0306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40"/>
      <c r="J15" s="140"/>
      <c r="K15" s="31">
        <f>AllRev.Water</f>
        <v>405.53399999999999</v>
      </c>
      <c r="L15" s="31">
        <f>K15*L14</f>
        <v>413.57711781039274</v>
      </c>
      <c r="M15" s="31">
        <f>L15*M14</f>
        <v>421.39444921761208</v>
      </c>
      <c r="N15" s="31">
        <f t="shared" ref="N15:P15" si="3">M15*N14</f>
        <v>432.11470454176128</v>
      </c>
      <c r="O15" s="31">
        <f t="shared" si="3"/>
        <v>449.13774532975992</v>
      </c>
      <c r="P15" s="31">
        <f t="shared" si="3"/>
        <v>462.88136033685055</v>
      </c>
      <c r="Q15" s="125"/>
      <c r="R15" s="125"/>
      <c r="S15" s="125"/>
      <c r="T15" s="125"/>
      <c r="U15" s="125"/>
      <c r="V15" s="13" t="s">
        <v>150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A17" s="16"/>
      <c r="B17" s="16"/>
      <c r="C17" s="16"/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  <c r="W17" s="16"/>
    </row>
    <row r="18" spans="1:23" s="10" customFormat="1">
      <c r="A18" s="16"/>
      <c r="B18" s="16"/>
      <c r="C18" s="16"/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  <c r="W18" s="16"/>
    </row>
    <row r="19" spans="1:23" s="10" customFormat="1">
      <c r="A19" s="16"/>
      <c r="B19" s="16"/>
      <c r="C19" s="16"/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31">
        <f>BlindYear.1415.Adj.Water</f>
        <v>-5.3840000000000003</v>
      </c>
      <c r="L19" s="13" t="s">
        <v>154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  <c r="W19" s="16"/>
    </row>
    <row r="20" spans="1:23" s="10" customFormat="1">
      <c r="A20" s="16"/>
      <c r="B20" s="16"/>
      <c r="C20" s="16"/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AMP5.RCM.Adj.Water</f>
        <v>-5.3840000000000003</v>
      </c>
      <c r="L20" s="31">
        <f>K20*(1+Discount.Rate)</f>
        <v>-5.5778240000000006</v>
      </c>
      <c r="M20" s="31">
        <f>L20*(1+Discount.Rate)</f>
        <v>-5.7786256640000007</v>
      </c>
      <c r="N20" s="31">
        <f>M20*(1+Discount.Rate)</f>
        <v>-5.9866561879040008</v>
      </c>
      <c r="O20" s="31">
        <f>N20*(1+Discount.Rate)</f>
        <v>-6.2021758106685452</v>
      </c>
      <c r="P20" s="31">
        <f>O20*(1+Discount.Rate)</f>
        <v>-6.4254541398526133</v>
      </c>
      <c r="Q20" s="16"/>
      <c r="R20" s="16"/>
      <c r="S20" s="32"/>
      <c r="T20" s="32"/>
      <c r="U20" s="32"/>
      <c r="V20" s="16"/>
      <c r="W20" s="16"/>
    </row>
    <row r="21" spans="1:23" s="10" customFormat="1">
      <c r="A21" s="16"/>
      <c r="B21" s="16"/>
      <c r="C21" s="16"/>
      <c r="D21" s="146" t="s">
        <v>135</v>
      </c>
      <c r="E21" s="148" t="str">
        <f>Data!E44</f>
        <v>Percentage of blind year adjustment by year - water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Data!N44</f>
        <v>0</v>
      </c>
      <c r="O21" s="152">
        <f>Data!O44</f>
        <v>0</v>
      </c>
      <c r="P21" s="152">
        <f>Data!P44</f>
        <v>0</v>
      </c>
      <c r="Q21" s="16"/>
      <c r="R21" s="16"/>
      <c r="S21" s="32"/>
      <c r="T21" s="32"/>
      <c r="U21" s="32"/>
      <c r="V21" s="16"/>
      <c r="W21" s="16"/>
    </row>
    <row r="22" spans="1:23" s="10" customFormat="1">
      <c r="A22" s="16"/>
      <c r="B22" s="16"/>
      <c r="C22" s="16"/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0</v>
      </c>
      <c r="O22" s="31">
        <f t="shared" si="4"/>
        <v>0</v>
      </c>
      <c r="P22" s="31">
        <f t="shared" si="4"/>
        <v>0</v>
      </c>
      <c r="Q22" s="141"/>
      <c r="R22" s="141"/>
      <c r="S22" s="32"/>
      <c r="T22" s="32"/>
      <c r="U22" s="32"/>
      <c r="V22" s="16"/>
      <c r="W22" s="16"/>
    </row>
    <row r="23" spans="1:23" s="10" customFormat="1">
      <c r="A23" s="16"/>
      <c r="B23" s="16"/>
      <c r="C23" s="16"/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113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159</v>
      </c>
      <c r="W23" s="16"/>
    </row>
    <row r="24" spans="1:23" s="10" customFormat="1">
      <c r="A24" s="16"/>
      <c r="B24" s="16"/>
      <c r="C24" s="16"/>
      <c r="D24" s="17"/>
      <c r="E24" s="16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6"/>
      <c r="W24" s="16"/>
    </row>
    <row r="25" spans="1:23" s="10" customFormat="1">
      <c r="A25" s="16"/>
      <c r="B25" s="16"/>
      <c r="C25" s="16"/>
      <c r="D25" s="17"/>
      <c r="E25" s="40" t="s">
        <v>160</v>
      </c>
      <c r="F25" s="40"/>
      <c r="G25" s="16"/>
      <c r="H25" s="16"/>
      <c r="I25" s="16"/>
      <c r="J25" s="16"/>
      <c r="K25" s="16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6"/>
      <c r="W25" s="16"/>
    </row>
    <row r="26" spans="1:23" s="10" customFormat="1">
      <c r="A26" s="16"/>
      <c r="B26" s="16"/>
      <c r="C26" s="16"/>
      <c r="D26" s="17"/>
      <c r="E26" s="9" t="s">
        <v>161</v>
      </c>
      <c r="F26" s="40"/>
      <c r="G26" s="16"/>
      <c r="H26" s="16"/>
      <c r="I26" s="16"/>
      <c r="J26" s="16"/>
      <c r="K26" s="140"/>
      <c r="L26" s="125"/>
      <c r="M26" s="125"/>
      <c r="N26" s="125"/>
      <c r="O26" s="125"/>
      <c r="P26" s="125"/>
      <c r="Q26" s="125"/>
      <c r="R26" s="125"/>
      <c r="S26" s="32"/>
      <c r="T26" s="32"/>
      <c r="U26" s="32"/>
      <c r="V26" s="16"/>
      <c r="W26" s="16"/>
    </row>
    <row r="27" spans="1:23" s="10" customFormat="1">
      <c r="A27" s="16"/>
      <c r="B27" s="16"/>
      <c r="C27" s="16"/>
      <c r="D27" s="17" t="s">
        <v>81</v>
      </c>
      <c r="E27" s="18" t="s">
        <v>162</v>
      </c>
      <c r="F27" s="40" t="s">
        <v>96</v>
      </c>
      <c r="G27" s="16"/>
      <c r="H27" s="16"/>
      <c r="I27" s="140"/>
      <c r="J27" s="140"/>
      <c r="K27" s="140"/>
      <c r="L27" s="31">
        <f>J43+J53</f>
        <v>0</v>
      </c>
      <c r="M27" s="31">
        <f t="shared" ref="M27:P27" si="6">K43+K53</f>
        <v>0</v>
      </c>
      <c r="N27" s="31">
        <f>L43+L53</f>
        <v>-5.4663149854380517</v>
      </c>
      <c r="O27" s="31">
        <f t="shared" si="6"/>
        <v>-7.0614635216259627</v>
      </c>
      <c r="P27" s="31">
        <f t="shared" si="6"/>
        <v>-9.6551506151848692</v>
      </c>
      <c r="Q27" s="31"/>
      <c r="R27" s="31"/>
      <c r="S27" s="30"/>
      <c r="T27" s="30"/>
      <c r="U27" s="30"/>
      <c r="V27" s="13" t="s">
        <v>163</v>
      </c>
      <c r="W27" s="16"/>
    </row>
    <row r="28" spans="1:23" s="10" customFormat="1">
      <c r="A28" s="16"/>
      <c r="B28" s="16"/>
      <c r="C28" s="140"/>
      <c r="D28" s="148" t="str">
        <f>Data!D12</f>
        <v>True/False</v>
      </c>
      <c r="E28" s="148" t="str">
        <f>Data!E12</f>
        <v>Company has accepted WRFIM licence modification</v>
      </c>
      <c r="F28" s="148"/>
      <c r="G28" s="148" t="b">
        <f>Data!G12</f>
        <v>1</v>
      </c>
      <c r="H28" s="148" t="str">
        <f>Data!H12</f>
        <v>True/False</v>
      </c>
      <c r="I28" s="148"/>
      <c r="J28" s="148"/>
      <c r="K28" s="148"/>
      <c r="L28" s="31"/>
      <c r="M28" s="31"/>
      <c r="N28" s="31"/>
      <c r="O28" s="31"/>
      <c r="P28" s="31"/>
      <c r="Q28" s="31"/>
      <c r="R28" s="31"/>
      <c r="S28" s="20"/>
      <c r="T28" s="20"/>
      <c r="U28" s="20"/>
      <c r="V28" s="13"/>
      <c r="W28" s="16"/>
    </row>
    <row r="29" spans="1:23" s="10" customFormat="1">
      <c r="A29" s="16"/>
      <c r="B29" s="16"/>
      <c r="C29" s="140"/>
      <c r="D29" s="146" t="s">
        <v>81</v>
      </c>
      <c r="E29" s="148" t="str">
        <f>Data!E50</f>
        <v>Over-recovered 17/18 revenue returned - water</v>
      </c>
      <c r="F29" s="149" t="s">
        <v>96</v>
      </c>
      <c r="G29" s="148"/>
      <c r="H29" s="148"/>
      <c r="I29" s="148"/>
      <c r="J29" s="148"/>
      <c r="K29" s="148"/>
      <c r="L29" s="125"/>
      <c r="M29" s="125"/>
      <c r="N29" s="125"/>
      <c r="O29" s="168">
        <f>(0 - Data!O50)</f>
        <v>0</v>
      </c>
      <c r="P29" s="125"/>
      <c r="Q29" s="31"/>
      <c r="R29" s="31"/>
      <c r="S29" s="20"/>
      <c r="T29" s="20"/>
      <c r="U29" s="20"/>
      <c r="V29" s="13"/>
      <c r="W29" s="16"/>
    </row>
    <row r="30" spans="1:23" s="10" customFormat="1">
      <c r="A30" s="16"/>
      <c r="B30" s="16"/>
      <c r="C30" s="140"/>
      <c r="D30" s="146" t="s">
        <v>81</v>
      </c>
      <c r="E30" s="148" t="s">
        <v>243</v>
      </c>
      <c r="F30" s="149" t="s">
        <v>96</v>
      </c>
      <c r="G30" s="148"/>
      <c r="H30" s="148"/>
      <c r="I30" s="148"/>
      <c r="J30" s="148"/>
      <c r="K30" s="148"/>
      <c r="L30" s="125"/>
      <c r="M30" s="125"/>
      <c r="N30" s="125"/>
      <c r="O30" s="125"/>
      <c r="P30" s="168">
        <f>(0-O29*(1+Discount.Rate))*(INDEX(Indexation.November.Actual.YearOnYear,,MATCH(P$5,Calendar.Years,0)))</f>
        <v>0</v>
      </c>
      <c r="Q30" s="31"/>
      <c r="R30" s="31"/>
      <c r="S30" s="20"/>
      <c r="T30" s="20"/>
      <c r="U30" s="20"/>
      <c r="V30" s="13"/>
      <c r="W30" s="16"/>
    </row>
    <row r="31" spans="1:23" s="10" customFormat="1">
      <c r="A31" s="16"/>
      <c r="B31" s="16"/>
      <c r="C31" s="140"/>
      <c r="D31" s="146" t="s">
        <v>81</v>
      </c>
      <c r="E31" s="148" t="str">
        <f>Data!E53</f>
        <v>Over-recovered 18/19 revenue returned - water</v>
      </c>
      <c r="F31" s="149" t="s">
        <v>96</v>
      </c>
      <c r="G31" s="148"/>
      <c r="H31" s="148"/>
      <c r="I31" s="148"/>
      <c r="J31" s="148"/>
      <c r="K31" s="148"/>
      <c r="L31" s="125"/>
      <c r="M31" s="125"/>
      <c r="N31" s="125"/>
      <c r="O31" s="125"/>
      <c r="P31" s="168">
        <f>(0 - Data!P53)</f>
        <v>0</v>
      </c>
      <c r="Q31" s="31"/>
      <c r="R31" s="31"/>
      <c r="S31" s="20"/>
      <c r="T31" s="20"/>
      <c r="U31" s="20"/>
      <c r="V31" s="13"/>
      <c r="W31" s="16"/>
    </row>
    <row r="32" spans="1:23" s="25" customFormat="1">
      <c r="A32" s="16"/>
      <c r="B32" s="16"/>
      <c r="C32" s="140"/>
      <c r="D32" s="146" t="s">
        <v>81</v>
      </c>
      <c r="E32" s="148" t="s">
        <v>164</v>
      </c>
      <c r="F32" s="149" t="s">
        <v>96</v>
      </c>
      <c r="G32" s="153"/>
      <c r="H32" s="153"/>
      <c r="I32" s="153"/>
      <c r="J32" s="153"/>
      <c r="K32" s="153"/>
      <c r="L32" s="125">
        <f>L15</f>
        <v>413.57711781039274</v>
      </c>
      <c r="M32" s="125">
        <f>M15</f>
        <v>421.39444921761208</v>
      </c>
      <c r="N32" s="125">
        <f>N15</f>
        <v>432.11470454176128</v>
      </c>
      <c r="O32" s="125">
        <f>O15</f>
        <v>449.13774532975992</v>
      </c>
      <c r="P32" s="125">
        <f>P15</f>
        <v>462.88136033685055</v>
      </c>
      <c r="Q32" s="125"/>
      <c r="R32" s="125"/>
      <c r="S32" s="125"/>
      <c r="T32" s="125"/>
      <c r="U32" s="125"/>
      <c r="V32" s="13"/>
      <c r="W32" s="16"/>
    </row>
    <row r="33" spans="1:23" s="10" customFormat="1">
      <c r="A33" s="16"/>
      <c r="B33" s="16"/>
      <c r="C33" s="140"/>
      <c r="D33" s="146" t="s">
        <v>81</v>
      </c>
      <c r="E33" s="148" t="s">
        <v>165</v>
      </c>
      <c r="F33" s="149" t="s">
        <v>96</v>
      </c>
      <c r="G33" s="140"/>
      <c r="H33" s="140"/>
      <c r="I33" s="140"/>
      <c r="J33" s="140"/>
      <c r="K33" s="140"/>
      <c r="L33" s="169">
        <f>AllRev.Outturn.Water+RCM.BlindYear.Adj.Water+AMP6.FI.Adj.Water+L29+L30+L31</f>
        <v>413.57711781039274</v>
      </c>
      <c r="M33" s="169">
        <f>AllRev.Outturn.Water+RCM.BlindYear.Adj.Water+AMP6.FI.Adj.Water+M29+M30+M31</f>
        <v>421.39444921761208</v>
      </c>
      <c r="N33" s="169">
        <f>AllRev.Outturn.Water+RCM.BlindYear.Adj.Water+AMP6.FI.Adj.Water+N29+N30+N31</f>
        <v>426.64838955632325</v>
      </c>
      <c r="O33" s="169">
        <f>AllRev.Outturn.Water+RCM.BlindYear.Adj.Water+AMP6.FI.Adj.Water+O29+O30+O31</f>
        <v>442.07628180813396</v>
      </c>
      <c r="P33" s="169">
        <f>AllRev.Outturn.Water+RCM.BlindYear.Adj.Water+AMP6.FI.Adj.Water+P29+P30+P31</f>
        <v>453.22620972166567</v>
      </c>
      <c r="Q33" s="32"/>
      <c r="R33" s="32"/>
      <c r="S33" s="32"/>
      <c r="T33" s="32"/>
      <c r="U33" s="32"/>
      <c r="V33" s="13" t="s">
        <v>166</v>
      </c>
      <c r="W33" s="16"/>
    </row>
    <row r="34" spans="1:23" s="25" customFormat="1">
      <c r="A34" s="16"/>
      <c r="B34" s="16"/>
      <c r="C34" s="140"/>
      <c r="D34" s="146" t="s">
        <v>81</v>
      </c>
      <c r="E34" s="148" t="s">
        <v>167</v>
      </c>
      <c r="F34" s="149" t="s">
        <v>96</v>
      </c>
      <c r="G34" s="153"/>
      <c r="H34" s="153"/>
      <c r="I34" s="153"/>
      <c r="J34" s="153"/>
      <c r="K34" s="153"/>
      <c r="L34" s="31">
        <f>IF($G28=TRUE,L33,MIN(L32:L33))</f>
        <v>413.57711781039274</v>
      </c>
      <c r="M34" s="31">
        <f>IF($G28=TRUE,M33,MIN(M32:M33))</f>
        <v>421.39444921761208</v>
      </c>
      <c r="N34" s="31">
        <f>IF($G28=TRUE,N33,MIN(N32:N33))</f>
        <v>426.64838955632325</v>
      </c>
      <c r="O34" s="31">
        <f>IF($G28=TRUE,O33,MIN(O32:O33))</f>
        <v>442.07628180813396</v>
      </c>
      <c r="P34" s="31">
        <f>IF($G28=TRUE,P33,MIN(P32:P33))</f>
        <v>453.22620972166567</v>
      </c>
      <c r="Q34" s="125"/>
      <c r="R34" s="125"/>
      <c r="S34" s="125"/>
      <c r="T34" s="125"/>
      <c r="U34" s="125"/>
      <c r="V34" s="13" t="s">
        <v>168</v>
      </c>
      <c r="W34" s="16"/>
    </row>
    <row r="35" spans="1:23" s="10" customFormat="1">
      <c r="A35" s="16"/>
      <c r="B35" s="16"/>
      <c r="C35" s="140"/>
      <c r="D35" s="146"/>
      <c r="E35" s="148"/>
      <c r="F35" s="149"/>
      <c r="G35" s="140"/>
      <c r="H35" s="140"/>
      <c r="I35" s="140"/>
      <c r="J35" s="140"/>
      <c r="K35" s="140"/>
      <c r="L35" s="125"/>
      <c r="M35" s="125"/>
      <c r="N35" s="125"/>
      <c r="O35" s="125"/>
      <c r="P35" s="125"/>
      <c r="Q35" s="32"/>
      <c r="R35" s="32"/>
      <c r="S35" s="32"/>
      <c r="T35" s="32"/>
      <c r="U35" s="32"/>
      <c r="V35" s="16"/>
      <c r="W35" s="16"/>
    </row>
    <row r="36" spans="1:23" s="10" customFormat="1">
      <c r="A36" s="16"/>
      <c r="B36" s="16"/>
      <c r="C36" s="16"/>
      <c r="D36" s="17" t="s">
        <v>81</v>
      </c>
      <c r="E36" s="18" t="s">
        <v>169</v>
      </c>
      <c r="F36" s="40" t="s">
        <v>96</v>
      </c>
      <c r="G36" s="16"/>
      <c r="H36" s="16"/>
      <c r="I36" s="16"/>
      <c r="J36" s="16"/>
      <c r="K36" s="140"/>
      <c r="L36" s="31">
        <f t="shared" ref="L36:P36" si="7">RecRev.Water</f>
        <v>418.50900000000001</v>
      </c>
      <c r="M36" s="141">
        <f t="shared" si="7"/>
        <v>427.59199999999998</v>
      </c>
      <c r="N36" s="31">
        <f t="shared" si="7"/>
        <v>435.05599999999998</v>
      </c>
      <c r="O36" s="141">
        <f t="shared" si="7"/>
        <v>442.07600000000002</v>
      </c>
      <c r="P36" s="141">
        <f t="shared" si="7"/>
        <v>453.226</v>
      </c>
      <c r="Q36" s="31"/>
      <c r="R36" s="31"/>
      <c r="S36" s="20"/>
      <c r="T36" s="20"/>
      <c r="U36" s="20"/>
      <c r="V36" s="16"/>
      <c r="W36" s="16"/>
    </row>
    <row r="37" spans="1:23" s="10" customFormat="1">
      <c r="A37" s="16"/>
      <c r="B37" s="16"/>
      <c r="C37" s="16"/>
      <c r="D37" s="17"/>
      <c r="E37" s="18"/>
      <c r="F37" s="40"/>
      <c r="G37" s="16"/>
      <c r="H37" s="16"/>
      <c r="I37" s="16"/>
      <c r="J37" s="16"/>
      <c r="K37" s="140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6"/>
      <c r="W37" s="16"/>
    </row>
    <row r="38" spans="1:23" s="10" customFormat="1">
      <c r="A38" s="16"/>
      <c r="B38" s="16"/>
      <c r="C38" s="16"/>
      <c r="D38" s="17" t="s">
        <v>81</v>
      </c>
      <c r="E38" s="18" t="s">
        <v>170</v>
      </c>
      <c r="F38" s="40" t="s">
        <v>96</v>
      </c>
      <c r="G38" s="16"/>
      <c r="H38" s="16"/>
      <c r="I38" s="16"/>
      <c r="J38" s="16"/>
      <c r="K38" s="140"/>
      <c r="L38" s="125">
        <f t="shared" ref="L38:M38" si="8">L36-L33</f>
        <v>4.9318821896072791</v>
      </c>
      <c r="M38" s="125">
        <f t="shared" si="8"/>
        <v>6.197550782387907</v>
      </c>
      <c r="N38" s="125">
        <f>N36-N33</f>
        <v>8.4076104436767309</v>
      </c>
      <c r="O38" s="125">
        <f t="shared" ref="O38:P38" si="9">O36-O33</f>
        <v>-2.8180813393419157E-4</v>
      </c>
      <c r="P38" s="125">
        <f t="shared" si="9"/>
        <v>-2.0972166566934902E-4</v>
      </c>
      <c r="Q38" s="32"/>
      <c r="R38" s="32"/>
      <c r="S38" s="32"/>
      <c r="T38" s="32"/>
      <c r="U38" s="32"/>
      <c r="V38" s="16"/>
      <c r="W38" s="16"/>
    </row>
    <row r="39" spans="1:23" s="10" customFormat="1">
      <c r="A39" s="16"/>
      <c r="B39" s="16"/>
      <c r="C39" s="16"/>
      <c r="D39" s="17" t="s">
        <v>68</v>
      </c>
      <c r="E39" s="18" t="s">
        <v>171</v>
      </c>
      <c r="F39" s="40"/>
      <c r="G39" s="16"/>
      <c r="H39" s="16"/>
      <c r="I39" s="16"/>
      <c r="J39" s="16"/>
      <c r="K39" s="140"/>
      <c r="L39" s="142">
        <f>IF(L33=0,0,L38/L33)</f>
        <v>1.1924939696176166E-2</v>
      </c>
      <c r="M39" s="142">
        <f t="shared" ref="M39:P39" si="10">IF(M33=0,0,M38/M33)</f>
        <v>1.4707243519449952E-2</v>
      </c>
      <c r="N39" s="142">
        <f t="shared" si="10"/>
        <v>1.9706181130602428E-2</v>
      </c>
      <c r="O39" s="142">
        <f t="shared" si="10"/>
        <v>-6.374649478627751E-7</v>
      </c>
      <c r="P39" s="142">
        <f t="shared" si="10"/>
        <v>-4.6273066555030623E-7</v>
      </c>
      <c r="Q39" s="125"/>
      <c r="R39" s="125"/>
      <c r="S39" s="125"/>
      <c r="T39" s="125"/>
      <c r="U39" s="125"/>
      <c r="V39" s="13" t="s">
        <v>172</v>
      </c>
      <c r="W39" s="143"/>
    </row>
    <row r="40" spans="1:23" s="25" customFormat="1">
      <c r="A40" s="16"/>
      <c r="B40" s="16"/>
      <c r="C40" s="16"/>
      <c r="D40" s="17"/>
      <c r="E40" s="18"/>
      <c r="F40" s="42"/>
      <c r="K40" s="140"/>
      <c r="L40" s="142"/>
      <c r="M40" s="142"/>
      <c r="N40" s="142"/>
      <c r="O40" s="142"/>
      <c r="P40" s="142"/>
      <c r="Q40" s="125"/>
      <c r="R40" s="125"/>
      <c r="S40" s="125"/>
      <c r="T40" s="125"/>
      <c r="U40" s="125"/>
      <c r="V40" s="13"/>
    </row>
    <row r="41" spans="1:23" s="25" customFormat="1">
      <c r="A41" s="16"/>
      <c r="B41" s="16"/>
      <c r="C41" s="16"/>
      <c r="D41" s="17"/>
      <c r="E41" s="35" t="s">
        <v>173</v>
      </c>
      <c r="F41" s="42"/>
      <c r="K41" s="140"/>
      <c r="L41" s="142"/>
      <c r="M41" s="142"/>
      <c r="N41" s="142"/>
      <c r="O41" s="142"/>
      <c r="P41" s="142"/>
      <c r="Q41" s="125"/>
      <c r="R41" s="125"/>
      <c r="S41" s="125"/>
      <c r="T41" s="125"/>
      <c r="U41" s="125"/>
      <c r="V41" s="13"/>
    </row>
    <row r="42" spans="1:23" s="25" customFormat="1">
      <c r="A42" s="16"/>
      <c r="B42" s="16"/>
      <c r="C42" s="16"/>
      <c r="D42" s="17" t="s">
        <v>81</v>
      </c>
      <c r="E42" s="18" t="s">
        <v>174</v>
      </c>
      <c r="F42" s="40" t="s">
        <v>96</v>
      </c>
      <c r="J42" s="26">
        <v>0</v>
      </c>
      <c r="K42" s="26">
        <v>0</v>
      </c>
      <c r="L42" s="31">
        <f>0-L38*(1+Discount.Rate)*(1+Discount.Rate)</f>
        <v>-5.293369426576735</v>
      </c>
      <c r="M42" s="31">
        <f>0-M38*(1+Discount.Rate)*(1+Discount.Rate)</f>
        <v>-6.6518064645338111</v>
      </c>
      <c r="N42" s="31">
        <f>0-N38*(1+Discount.Rate)*(1+Discount.Rate)</f>
        <v>-9.023854658756461</v>
      </c>
      <c r="O42" s="26"/>
      <c r="P42" s="26"/>
      <c r="Q42" s="125"/>
      <c r="R42" s="125"/>
      <c r="S42" s="125"/>
      <c r="T42" s="125"/>
      <c r="U42" s="125"/>
      <c r="V42" s="13"/>
    </row>
    <row r="43" spans="1:23" s="25" customFormat="1">
      <c r="A43" s="16"/>
      <c r="B43" s="16"/>
      <c r="C43" s="16"/>
      <c r="D43" s="17" t="s">
        <v>81</v>
      </c>
      <c r="E43" s="18" t="s">
        <v>175</v>
      </c>
      <c r="F43" s="40" t="s">
        <v>176</v>
      </c>
      <c r="J43" s="113">
        <v>0</v>
      </c>
      <c r="K43" s="26">
        <v>0</v>
      </c>
      <c r="L43" s="31">
        <f>L42*INDEX(Indexation.November.Actual.YearOnYear,,MATCH(M$5,Calendar.Years,0))*(INDEX(Indexation.November.Actual.YearOnYear,,MATCH(N$5,Calendar.Years,0)))</f>
        <v>-5.4663149854380517</v>
      </c>
      <c r="M43" s="31">
        <f>M42*INDEX(Indexation.November.Actual.YearOnYear,,MATCH(N$5,Calendar.Years,0))*(INDEX(Indexation.November.Actual.YearOnYear,,MATCH(O$5,Calendar.Years,0)))</f>
        <v>-7.0614635216259627</v>
      </c>
      <c r="N43" s="31">
        <f>N42*INDEX(Indexation.November.Actual.YearOnYear,,MATCH(O$5,Calendar.Years,0))*(INDEX(Indexation.November.Actual.YearOnYear,,MATCH(P$5,Calendar.Years,0)))</f>
        <v>-9.6551506151848692</v>
      </c>
      <c r="O43" s="26"/>
      <c r="P43" s="26"/>
      <c r="Q43" s="125"/>
      <c r="R43" s="125"/>
      <c r="S43" s="125"/>
      <c r="T43" s="125"/>
      <c r="U43" s="125"/>
      <c r="V43" s="13"/>
      <c r="W43"/>
    </row>
    <row r="44" spans="1:23" s="25" customFormat="1">
      <c r="A44" s="16"/>
      <c r="B44" s="16"/>
      <c r="C44" s="16"/>
      <c r="D44" s="17" t="s">
        <v>81</v>
      </c>
      <c r="E44" s="18" t="s">
        <v>177</v>
      </c>
      <c r="F44" s="40" t="s">
        <v>96</v>
      </c>
      <c r="J44" s="26"/>
      <c r="K44" s="26"/>
      <c r="L44" s="26"/>
      <c r="M44" s="26"/>
      <c r="N44" s="31">
        <f>L43</f>
        <v>-5.4663149854380517</v>
      </c>
      <c r="O44" s="31">
        <f>M43</f>
        <v>-7.0614635216259627</v>
      </c>
      <c r="P44" s="31">
        <f>N43</f>
        <v>-9.6551506151848692</v>
      </c>
      <c r="Q44" s="125"/>
      <c r="R44" s="125"/>
      <c r="S44" s="125"/>
      <c r="T44" s="125"/>
      <c r="U44" s="125"/>
      <c r="V44" s="13"/>
      <c r="W44"/>
    </row>
    <row r="45" spans="1:23" s="25" customFormat="1">
      <c r="A45" s="16"/>
      <c r="B45" s="16"/>
      <c r="C45" s="16"/>
      <c r="D45" s="17"/>
      <c r="E45" s="21"/>
      <c r="F45" s="40"/>
      <c r="Q45" s="125"/>
      <c r="R45" s="125"/>
      <c r="S45" s="125"/>
      <c r="T45" s="125"/>
      <c r="U45" s="125"/>
      <c r="V45" s="13"/>
      <c r="W45"/>
    </row>
    <row r="46" spans="1:23" s="25" customFormat="1">
      <c r="A46" s="16"/>
      <c r="B46" s="16"/>
      <c r="C46" s="16"/>
      <c r="D46" s="17"/>
      <c r="E46" s="35" t="s">
        <v>178</v>
      </c>
      <c r="F46" s="40"/>
      <c r="Q46" s="125"/>
      <c r="R46" s="125"/>
      <c r="S46" s="125"/>
      <c r="T46" s="125"/>
      <c r="U46" s="125"/>
      <c r="V46" s="13"/>
      <c r="W46"/>
    </row>
    <row r="47" spans="1:23" s="25" customFormat="1">
      <c r="A47" s="16"/>
      <c r="B47" s="16"/>
      <c r="C47" s="16"/>
      <c r="D47" s="17" t="s">
        <v>68</v>
      </c>
      <c r="E47" s="18" t="s">
        <v>179</v>
      </c>
      <c r="F47" s="40"/>
      <c r="L47" s="142">
        <f>IF(L34=0,0,ABS((L36-L34)/L34))</f>
        <v>1.1924939696176166E-2</v>
      </c>
      <c r="M47" s="142">
        <f t="shared" ref="M47:P47" si="11">IF(M34=0,0,ABS((M36-M34)/M34))</f>
        <v>1.4707243519449952E-2</v>
      </c>
      <c r="N47" s="142">
        <f t="shared" si="11"/>
        <v>1.9706181130602428E-2</v>
      </c>
      <c r="O47" s="142">
        <f t="shared" si="11"/>
        <v>6.374649478627751E-7</v>
      </c>
      <c r="P47" s="142">
        <f t="shared" si="11"/>
        <v>4.6273066555030623E-7</v>
      </c>
      <c r="Q47" s="125"/>
      <c r="R47" s="125"/>
      <c r="S47" s="125"/>
      <c r="T47" s="125"/>
      <c r="U47" s="125"/>
      <c r="V47" s="13"/>
      <c r="W47"/>
    </row>
    <row r="48" spans="1:23" s="10" customFormat="1">
      <c r="A48" s="16"/>
      <c r="B48" s="16"/>
      <c r="C48" s="16"/>
      <c r="D48" s="23" t="s">
        <v>180</v>
      </c>
      <c r="E48" s="18" t="s">
        <v>181</v>
      </c>
      <c r="F48" s="40"/>
      <c r="G48" s="16"/>
      <c r="H48" s="16"/>
      <c r="I48" s="16"/>
      <c r="J48" s="16"/>
      <c r="K48" s="140"/>
      <c r="L48" s="144" t="b">
        <f>L47&gt;Threshold.Min</f>
        <v>0</v>
      </c>
      <c r="M48" s="144" t="b">
        <f>M47&gt;Threshold.Min</f>
        <v>0</v>
      </c>
      <c r="N48" s="144" t="b">
        <f>N47&gt;Threshold.Min</f>
        <v>0</v>
      </c>
      <c r="O48" s="144" t="b">
        <f>O47&gt;Threshold.Min</f>
        <v>0</v>
      </c>
      <c r="P48" s="144" t="b">
        <f>P47&gt;Threshold.Min</f>
        <v>0</v>
      </c>
      <c r="Q48" s="32"/>
      <c r="R48" s="32"/>
      <c r="S48" s="32"/>
      <c r="T48" s="32"/>
      <c r="U48" s="32"/>
      <c r="V48" s="16"/>
      <c r="W48"/>
    </row>
    <row r="49" spans="1:23">
      <c r="A49" s="16"/>
      <c r="B49" s="16"/>
      <c r="C49" s="16"/>
      <c r="D49" s="17" t="s">
        <v>68</v>
      </c>
      <c r="E49" s="18" t="s">
        <v>182</v>
      </c>
      <c r="K49" s="140"/>
      <c r="L49" s="142">
        <f>L48*Penalty.Rate.General*MIN(1,(L47-Threshold.Min)/(Threshold.Max-Threshold.Min))</f>
        <v>0</v>
      </c>
      <c r="M49" s="142">
        <f>M48*Penalty.Rate.General*MIN(1,(M47-Threshold.Min)/(Threshold.Max-Threshold.Min))</f>
        <v>0</v>
      </c>
      <c r="N49" s="142">
        <f>N48*Penalty.Rate.General*MIN(1,(N47-Threshold.Min)/(Threshold.Max-Threshold.Min))</f>
        <v>0</v>
      </c>
      <c r="O49" s="142">
        <f>O48*Penalty.Rate.General*MIN(1,(O47-Threshold.Min)/(Threshold.Max-Threshold.Min))</f>
        <v>0</v>
      </c>
      <c r="P49" s="142">
        <f>P48*Penalty.Rate.General*MIN(1,(P47-Threshold.Min)/(Threshold.Max-Threshold.Min))</f>
        <v>0</v>
      </c>
      <c r="Q49" s="32"/>
      <c r="R49" s="32"/>
      <c r="S49" s="32"/>
      <c r="T49" s="32"/>
      <c r="U49" s="32"/>
    </row>
    <row r="50" spans="1:23" s="25" customFormat="1">
      <c r="A50" s="16"/>
      <c r="B50" s="16"/>
      <c r="C50" s="16"/>
      <c r="D50" s="17"/>
      <c r="E50" s="35"/>
      <c r="F50" s="40"/>
      <c r="Q50" s="125"/>
      <c r="R50" s="125"/>
      <c r="S50" s="125"/>
      <c r="T50" s="125"/>
      <c r="U50" s="125"/>
      <c r="V50" s="13"/>
      <c r="W50"/>
    </row>
    <row r="51" spans="1:23" s="25" customFormat="1">
      <c r="A51" s="16"/>
      <c r="B51" s="16"/>
      <c r="C51" s="16"/>
      <c r="D51" s="17" t="s">
        <v>81</v>
      </c>
      <c r="E51" s="18" t="s">
        <v>183</v>
      </c>
      <c r="F51" s="40" t="s">
        <v>96</v>
      </c>
      <c r="J51" s="26"/>
      <c r="K51" s="26"/>
      <c r="L51" s="31">
        <f>0-L49*ABS(L36-L34)</f>
        <v>0</v>
      </c>
      <c r="M51" s="31">
        <f>0-M49*ABS(M36-M34)</f>
        <v>0</v>
      </c>
      <c r="N51" s="31">
        <f>0-N49*ABS(N36-N34)</f>
        <v>0</v>
      </c>
      <c r="O51" s="31">
        <f t="shared" ref="O51:P51" si="12">0-O49*ABS(O36-O34)</f>
        <v>0</v>
      </c>
      <c r="P51" s="31">
        <f t="shared" si="12"/>
        <v>0</v>
      </c>
      <c r="Q51" s="125"/>
      <c r="R51" s="125"/>
      <c r="S51" s="125"/>
      <c r="T51" s="125"/>
      <c r="U51" s="125"/>
      <c r="V51" s="13"/>
      <c r="W51"/>
    </row>
    <row r="52" spans="1:23" s="25" customFormat="1">
      <c r="A52" s="16"/>
      <c r="B52" s="16"/>
      <c r="C52" s="16"/>
      <c r="D52" s="17" t="s">
        <v>81</v>
      </c>
      <c r="E52" s="18" t="s">
        <v>184</v>
      </c>
      <c r="F52" s="40" t="s">
        <v>96</v>
      </c>
      <c r="J52" s="26"/>
      <c r="K52" s="26"/>
      <c r="L52" s="31">
        <f>L51*(1+Discount.Rate)</f>
        <v>0</v>
      </c>
      <c r="M52" s="31">
        <f>M51*(1+Discount.Rate)</f>
        <v>0</v>
      </c>
      <c r="N52" s="31">
        <f>N51*(1+Discount.Rate)</f>
        <v>0</v>
      </c>
      <c r="O52" s="26"/>
      <c r="P52" s="26"/>
      <c r="Q52" s="125"/>
      <c r="R52" s="125"/>
      <c r="S52" s="125"/>
      <c r="T52" s="125"/>
      <c r="U52" s="125"/>
      <c r="V52" s="13"/>
      <c r="W52"/>
    </row>
    <row r="53" spans="1:23" s="25" customFormat="1">
      <c r="A53" s="16"/>
      <c r="B53" s="16"/>
      <c r="C53" s="16"/>
      <c r="D53" s="17" t="s">
        <v>81</v>
      </c>
      <c r="E53" s="18" t="s">
        <v>185</v>
      </c>
      <c r="F53" s="40" t="s">
        <v>96</v>
      </c>
      <c r="J53" s="113"/>
      <c r="K53" s="26"/>
      <c r="L53" s="31">
        <f>L52*INDEX(Indexation.November.Actual.YearOnYear,,MATCH(M$5,Calendar.Years,0))*(INDEX(Indexation.November.Actual.YearOnYear,,MATCH(N$5,Calendar.Years,0)))</f>
        <v>0</v>
      </c>
      <c r="M53" s="31">
        <f>M52*INDEX(Indexation.November.Actual.YearOnYear,,MATCH(N$5,Calendar.Years,0))*(INDEX(Indexation.November.Actual.YearOnYear,,MATCH(O$5,Calendar.Years,0)))</f>
        <v>0</v>
      </c>
      <c r="N53" s="31">
        <f>N52*INDEX(Indexation.November.Actual.YearOnYear,,MATCH(O$5,Calendar.Years,0))*(INDEX(Indexation.November.Actual.YearOnYear,,MATCH(P$5,Calendar.Years,0)))</f>
        <v>0</v>
      </c>
      <c r="O53" s="26"/>
      <c r="P53" s="26"/>
      <c r="Q53" s="125"/>
      <c r="R53" s="125"/>
      <c r="S53" s="125"/>
      <c r="T53" s="125"/>
      <c r="U53" s="125"/>
      <c r="V53" s="13"/>
      <c r="W53"/>
    </row>
    <row r="54" spans="1:23" s="25" customFormat="1">
      <c r="A54" s="16"/>
      <c r="B54" s="16"/>
      <c r="C54" s="16"/>
      <c r="D54" s="17" t="s">
        <v>81</v>
      </c>
      <c r="E54" s="18" t="s">
        <v>186</v>
      </c>
      <c r="F54" s="40" t="s">
        <v>96</v>
      </c>
      <c r="J54" s="26"/>
      <c r="K54" s="26"/>
      <c r="L54" s="26"/>
      <c r="M54" s="26"/>
      <c r="N54" s="31">
        <f>L53</f>
        <v>0</v>
      </c>
      <c r="O54" s="31">
        <f>M53</f>
        <v>0</v>
      </c>
      <c r="P54" s="31">
        <f>N53</f>
        <v>0</v>
      </c>
      <c r="Q54" s="125"/>
      <c r="R54" s="125"/>
      <c r="T54" s="125"/>
      <c r="U54" s="125"/>
      <c r="V54" s="13"/>
      <c r="W54"/>
    </row>
    <row r="55" spans="1:23" s="25" customFormat="1">
      <c r="A55" s="16"/>
      <c r="B55" s="16"/>
      <c r="C55" s="16"/>
      <c r="Q55" s="125"/>
      <c r="R55" s="125"/>
      <c r="S55" s="125"/>
      <c r="T55" s="125"/>
      <c r="U55" s="125"/>
      <c r="V55" s="13"/>
      <c r="W55"/>
    </row>
    <row r="56" spans="1:23" s="25" customFormat="1">
      <c r="A56" s="16"/>
      <c r="B56" s="16"/>
      <c r="C56" s="16"/>
      <c r="E56" s="35" t="s">
        <v>187</v>
      </c>
      <c r="Q56" s="125"/>
      <c r="R56" s="125"/>
      <c r="S56" s="125"/>
      <c r="T56" s="125"/>
      <c r="U56" s="125"/>
      <c r="V56" s="13"/>
      <c r="W56"/>
    </row>
    <row r="57" spans="1:23" s="25" customFormat="1">
      <c r="A57" s="16"/>
      <c r="B57" s="16"/>
      <c r="C57" s="16"/>
      <c r="D57" s="17" t="s">
        <v>81</v>
      </c>
      <c r="E57" s="18" t="s">
        <v>177</v>
      </c>
      <c r="F57" s="40" t="s">
        <v>96</v>
      </c>
      <c r="L57" s="26"/>
      <c r="M57" s="26"/>
      <c r="N57" s="31">
        <f>N44</f>
        <v>-5.4663149854380517</v>
      </c>
      <c r="O57" s="31">
        <f>O44</f>
        <v>-7.0614635216259627</v>
      </c>
      <c r="P57" s="31">
        <f>P44</f>
        <v>-9.6551506151848692</v>
      </c>
      <c r="Q57" s="125"/>
      <c r="R57" s="125"/>
      <c r="S57" s="125"/>
      <c r="T57" s="125"/>
      <c r="U57" s="125"/>
      <c r="V57" s="13"/>
      <c r="W57"/>
    </row>
    <row r="58" spans="1:23" s="25" customFormat="1">
      <c r="A58" s="16"/>
      <c r="B58" s="16"/>
      <c r="C58" s="16"/>
      <c r="D58" s="17" t="s">
        <v>81</v>
      </c>
      <c r="E58" s="18" t="s">
        <v>186</v>
      </c>
      <c r="F58" s="40" t="s">
        <v>96</v>
      </c>
      <c r="L58" s="26"/>
      <c r="M58" s="26"/>
      <c r="N58" s="31">
        <f>N54</f>
        <v>0</v>
      </c>
      <c r="O58" s="31">
        <f>O54</f>
        <v>0</v>
      </c>
      <c r="P58" s="31">
        <f>P54</f>
        <v>0</v>
      </c>
      <c r="Q58" s="125"/>
      <c r="R58" s="125"/>
      <c r="S58" s="125"/>
      <c r="T58" s="125"/>
      <c r="U58" s="125"/>
      <c r="V58" s="13"/>
      <c r="W58"/>
    </row>
    <row r="59" spans="1:23">
      <c r="A59" s="16"/>
      <c r="B59" s="16"/>
      <c r="C59" s="16"/>
      <c r="D59" s="17" t="s">
        <v>81</v>
      </c>
      <c r="E59" s="18" t="s">
        <v>188</v>
      </c>
      <c r="F59" s="40" t="s">
        <v>96</v>
      </c>
      <c r="K59" s="140"/>
      <c r="L59" s="26"/>
      <c r="M59" s="26"/>
      <c r="N59" s="31">
        <f>SUM(N57:N58)</f>
        <v>-5.4663149854380517</v>
      </c>
      <c r="O59" s="31">
        <f>SUM(O57:O58)</f>
        <v>-7.0614635216259627</v>
      </c>
      <c r="P59" s="31">
        <f>SUM(P57:P58)</f>
        <v>-9.6551506151848692</v>
      </c>
    </row>
    <row r="60" spans="1:23">
      <c r="A60" s="16"/>
      <c r="B60" s="16"/>
      <c r="C60" s="16"/>
      <c r="K60" s="140"/>
    </row>
    <row r="61" spans="1:23">
      <c r="A61" s="16"/>
      <c r="B61" s="16"/>
      <c r="C61" s="16"/>
      <c r="E61" s="40" t="s">
        <v>189</v>
      </c>
      <c r="K61" s="140"/>
    </row>
    <row r="62" spans="1:23">
      <c r="D62" s="23" t="s">
        <v>180</v>
      </c>
      <c r="E62" s="18" t="s">
        <v>190</v>
      </c>
      <c r="K62" s="140"/>
      <c r="L62" s="144" t="b">
        <f t="shared" ref="L62:O62" si="13">ABS(Perc.Recovered.Water)&gt;Additional.Analysis</f>
        <v>0</v>
      </c>
      <c r="M62" s="144" t="b">
        <f t="shared" si="13"/>
        <v>0</v>
      </c>
      <c r="N62" s="144" t="b">
        <f t="shared" si="13"/>
        <v>0</v>
      </c>
      <c r="O62" s="144" t="b">
        <f t="shared" si="13"/>
        <v>0</v>
      </c>
      <c r="P62" s="145" t="b">
        <f>ABS(Perc.Recovered.Water)&gt;Additional.Analysis</f>
        <v>0</v>
      </c>
    </row>
    <row r="63" spans="1:23">
      <c r="D63" s="23"/>
      <c r="E63" s="18"/>
    </row>
    <row r="64" spans="1:23" s="7" customFormat="1" ht="15">
      <c r="A64" s="134"/>
      <c r="B64" s="8"/>
      <c r="C64" s="8"/>
      <c r="D64" s="138"/>
      <c r="E64" s="135" t="s">
        <v>191</v>
      </c>
      <c r="F64" s="136"/>
      <c r="G64" s="27"/>
      <c r="H64" s="27"/>
      <c r="I64" s="27"/>
      <c r="J64" s="27"/>
      <c r="K64" s="27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7"/>
      <c r="W64" s="27"/>
    </row>
    <row r="65" spans="1:23">
      <c r="E65" s="18"/>
    </row>
    <row r="66" spans="1:23">
      <c r="E66" s="40" t="s">
        <v>192</v>
      </c>
    </row>
    <row r="67" spans="1:23">
      <c r="D67" s="17" t="s">
        <v>81</v>
      </c>
      <c r="E67" s="18" t="s">
        <v>193</v>
      </c>
      <c r="F67" s="40" t="s">
        <v>96</v>
      </c>
      <c r="L67" s="26"/>
      <c r="M67" s="26"/>
      <c r="N67" s="26"/>
      <c r="O67" s="26"/>
      <c r="P67" s="31">
        <f>0-O38*(1+Discount.Rate)*Indexation.November.Actual.YearOnYear</f>
        <v>3.0071182355849717E-4</v>
      </c>
    </row>
    <row r="68" spans="1:23">
      <c r="D68" s="17" t="s">
        <v>81</v>
      </c>
      <c r="E68" s="18" t="s">
        <v>194</v>
      </c>
      <c r="F68" s="40" t="s">
        <v>96</v>
      </c>
      <c r="L68" s="26"/>
      <c r="M68" s="26"/>
      <c r="N68" s="26"/>
      <c r="O68" s="26"/>
      <c r="P68" s="31">
        <f>O51*Indexation.November.Actual.YearOnYear</f>
        <v>0</v>
      </c>
    </row>
    <row r="69" spans="1:23">
      <c r="D69" s="17" t="s">
        <v>81</v>
      </c>
      <c r="E69" s="18" t="s">
        <v>195</v>
      </c>
      <c r="F69" s="40" t="s">
        <v>96</v>
      </c>
      <c r="L69" s="26"/>
      <c r="M69" s="26"/>
      <c r="N69" s="26"/>
      <c r="O69" s="26"/>
      <c r="P69" s="31">
        <f>SUM(P67:P68)</f>
        <v>3.0071182355849717E-4</v>
      </c>
    </row>
    <row r="70" spans="1:23"/>
    <row r="71" spans="1:23">
      <c r="E71" s="40" t="s">
        <v>196</v>
      </c>
    </row>
    <row r="72" spans="1:23">
      <c r="D72" s="17" t="s">
        <v>81</v>
      </c>
      <c r="E72" s="18" t="s">
        <v>197</v>
      </c>
      <c r="F72" s="40" t="s">
        <v>96</v>
      </c>
      <c r="L72" s="26"/>
      <c r="M72" s="26"/>
      <c r="N72" s="26"/>
      <c r="O72" s="26"/>
      <c r="P72" s="31">
        <f>0-P38</f>
        <v>2.0972166566934902E-4</v>
      </c>
    </row>
    <row r="73" spans="1:23">
      <c r="D73" s="17" t="s">
        <v>81</v>
      </c>
      <c r="E73" s="18" t="s">
        <v>198</v>
      </c>
      <c r="F73" s="40" t="s">
        <v>96</v>
      </c>
      <c r="L73" s="26"/>
      <c r="M73" s="26"/>
      <c r="N73" s="26"/>
      <c r="O73" s="26"/>
      <c r="P73" s="31">
        <f>P51</f>
        <v>0</v>
      </c>
    </row>
    <row r="74" spans="1:23">
      <c r="D74" s="17" t="s">
        <v>81</v>
      </c>
      <c r="E74" s="18" t="s">
        <v>199</v>
      </c>
      <c r="F74" s="40" t="s">
        <v>96</v>
      </c>
      <c r="L74" s="26"/>
      <c r="M74" s="26"/>
      <c r="N74" s="26"/>
      <c r="O74" s="26"/>
      <c r="P74" s="31">
        <f>SUM(P72:P73)</f>
        <v>2.0972166566934902E-4</v>
      </c>
    </row>
    <row r="75" spans="1:23">
      <c r="E75" s="18"/>
    </row>
    <row r="76" spans="1:23">
      <c r="D76" s="17" t="s">
        <v>81</v>
      </c>
      <c r="E76" s="35" t="s">
        <v>200</v>
      </c>
      <c r="F76" s="40" t="s">
        <v>96</v>
      </c>
      <c r="L76" s="26"/>
      <c r="M76" s="26"/>
      <c r="N76" s="26"/>
      <c r="O76" s="26"/>
      <c r="P76" s="31">
        <f>SUM(P69,P74)</f>
        <v>5.1043348922784619E-4</v>
      </c>
      <c r="Q76" s="13" t="s">
        <v>201</v>
      </c>
    </row>
    <row r="77" spans="1:23" ht="13.5" thickBot="1">
      <c r="E77" s="22"/>
    </row>
    <row r="78" spans="1:23" ht="13.5" thickBot="1">
      <c r="A78" s="11" t="s">
        <v>111</v>
      </c>
      <c r="B78" s="12"/>
      <c r="C78" s="12"/>
      <c r="D78" s="12"/>
      <c r="E78" s="12"/>
      <c r="F78" s="4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/>
    <row r="80" spans="1:2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/>
    <row r="170"/>
    <row r="171"/>
    <row r="172"/>
    <row r="173"/>
    <row r="174"/>
  </sheetData>
  <sheetProtection algorithmName="SHA-512" hashValue="IPwpGkDo+K5PGT1TeZ4GxIIuDH2zjs8qGYknY+JB1JYXfsz9SCk6f8FSB+PPuEAY+FVCnaLAjYdxgb3FqRShiQ==" saltValue="VVqmUdPBGqBZSPP+UnorNw==" spinCount="100000" sheet="1" objects="1" scenarios="1"/>
  <conditionalFormatting sqref="L48:P48">
    <cfRule type="cellIs" dxfId="3" priority="4" operator="equal">
      <formula>TRUE</formula>
    </cfRule>
  </conditionalFormatting>
  <conditionalFormatting sqref="L62:P62">
    <cfRule type="cellIs" dxfId="2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  <pageSetUpPr fitToPage="1"/>
  </sheetPr>
  <dimension ref="A1:W156"/>
  <sheetViews>
    <sheetView showGridLines="0" zoomScale="90" zoomScaleNormal="90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N36" sqref="N36"/>
    </sheetView>
  </sheetViews>
  <sheetFormatPr defaultColWidth="0" defaultRowHeight="12.75" zeroHeight="1"/>
  <cols>
    <col min="1" max="3" width="2.5703125" customWidth="1"/>
    <col min="4" max="4" width="9.140625" customWidth="1"/>
    <col min="5" max="5" width="68.85546875" customWidth="1"/>
    <col min="6" max="6" width="15.5703125" customWidth="1"/>
    <col min="7" max="7" width="7.85546875" customWidth="1"/>
    <col min="8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202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16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16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16"/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5">
      <c r="A8" s="134"/>
      <c r="B8" s="8"/>
      <c r="C8" s="8"/>
      <c r="D8" s="138"/>
      <c r="E8" s="135" t="s">
        <v>144</v>
      </c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10" customFormat="1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16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16"/>
      <c r="G11" s="16"/>
      <c r="H11" s="16"/>
      <c r="I11" s="16"/>
      <c r="J11" s="16"/>
      <c r="K11" s="1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K.Waste</f>
        <v>0</v>
      </c>
      <c r="M12" s="31">
        <f>K.Waste</f>
        <v>0.89</v>
      </c>
      <c r="N12" s="31">
        <f>K.Waste</f>
        <v>0.4</v>
      </c>
      <c r="O12" s="31">
        <f>K.Waste</f>
        <v>0.11</v>
      </c>
      <c r="P12" s="31">
        <f>K.Waste</f>
        <v>0.11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3.0000000000000027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1.0194017502917152</v>
      </c>
      <c r="N14" s="31">
        <f t="shared" ref="N14:P14" si="2">1+(N13+N12)/100</f>
        <v>1.0259399538106235</v>
      </c>
      <c r="O14" s="31">
        <f t="shared" si="2"/>
        <v>1.0398947269303203</v>
      </c>
      <c r="P14" s="31">
        <f t="shared" si="2"/>
        <v>1.0311000000000001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6"/>
      <c r="J15" s="16"/>
      <c r="K15" s="31">
        <f>AllRev.Waste</f>
        <v>289.036</v>
      </c>
      <c r="L15" s="31">
        <f>K15*L14</f>
        <v>294.76856644188814</v>
      </c>
      <c r="M15" s="31">
        <f>L15*M14</f>
        <v>300.48759256184053</v>
      </c>
      <c r="N15" s="31">
        <f>M15*N14</f>
        <v>308.28222683356012</v>
      </c>
      <c r="O15" s="31">
        <f t="shared" ref="O15:P15" si="3">N15*O14</f>
        <v>320.58106209055603</v>
      </c>
      <c r="P15" s="31">
        <f t="shared" si="3"/>
        <v>330.55113312157238</v>
      </c>
      <c r="Q15" s="125"/>
      <c r="R15" s="125"/>
      <c r="S15" s="125"/>
      <c r="T15" s="125"/>
      <c r="U15" s="125"/>
      <c r="V15" s="13" t="s">
        <v>203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4:22" s="10" customFormat="1"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</row>
    <row r="18" spans="4:22" s="10" customFormat="1"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</row>
    <row r="19" spans="4:22" s="10" customFormat="1"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141">
        <f>BlindYear.1415.Adj.Waste</f>
        <v>-2.198</v>
      </c>
      <c r="L19" s="13" t="s">
        <v>204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</row>
    <row r="20" spans="4:22" s="10" customFormat="1"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AMP5.RCM.Adj.Waste</f>
        <v>-2.198</v>
      </c>
      <c r="L20" s="31">
        <f>K20*(1+Discount.Rate)</f>
        <v>-2.2771279999999998</v>
      </c>
      <c r="M20" s="31">
        <f>L20*(1+Discount.Rate)</f>
        <v>-2.359104608</v>
      </c>
      <c r="N20" s="31">
        <f>M20*(1+Discount.Rate)</f>
        <v>-2.4440323738880001</v>
      </c>
      <c r="O20" s="31">
        <f>N20*(1+Discount.Rate)</f>
        <v>-2.5320175393479682</v>
      </c>
      <c r="P20" s="31">
        <f>O20*(1+Discount.Rate)</f>
        <v>-2.623170170764495</v>
      </c>
      <c r="Q20" s="16"/>
      <c r="R20" s="16"/>
      <c r="S20" s="32"/>
      <c r="T20" s="32"/>
      <c r="U20" s="32"/>
      <c r="V20" s="16"/>
    </row>
    <row r="21" spans="4:22" s="10" customFormat="1">
      <c r="D21" s="146" t="s">
        <v>135</v>
      </c>
      <c r="E21" s="148" t="str">
        <f>Data!E45</f>
        <v>Percentage of blind year adjustment by year - waste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Data!N45</f>
        <v>0</v>
      </c>
      <c r="O21" s="152">
        <f>Data!O45</f>
        <v>0</v>
      </c>
      <c r="P21" s="152">
        <f>Data!P45</f>
        <v>0</v>
      </c>
      <c r="Q21" s="16"/>
      <c r="R21" s="16"/>
      <c r="S21" s="32"/>
      <c r="T21" s="32"/>
      <c r="U21" s="32"/>
      <c r="V21" s="16"/>
    </row>
    <row r="22" spans="4:22" s="10" customFormat="1"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0</v>
      </c>
      <c r="O22" s="31">
        <f t="shared" si="4"/>
        <v>0</v>
      </c>
      <c r="P22" s="31">
        <f t="shared" si="4"/>
        <v>0</v>
      </c>
      <c r="Q22" s="141"/>
      <c r="R22" s="141"/>
      <c r="S22" s="32"/>
      <c r="T22" s="32"/>
      <c r="U22" s="32"/>
      <c r="V22" s="16"/>
    </row>
    <row r="23" spans="4:22" s="10" customFormat="1"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26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205</v>
      </c>
    </row>
    <row r="24" spans="4:22" s="10" customFormat="1">
      <c r="D24" s="17"/>
      <c r="E24" s="16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6"/>
    </row>
    <row r="25" spans="4:22" s="10" customFormat="1">
      <c r="D25" s="17"/>
      <c r="E25" s="40" t="s">
        <v>160</v>
      </c>
      <c r="F25" s="40"/>
      <c r="G25" s="16"/>
      <c r="H25" s="16"/>
      <c r="I25" s="16"/>
      <c r="J25" s="16"/>
      <c r="K25" s="16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6"/>
    </row>
    <row r="26" spans="4:22" s="10" customFormat="1">
      <c r="D26" s="17"/>
      <c r="E26" s="9" t="s">
        <v>161</v>
      </c>
      <c r="F26" s="40"/>
      <c r="G26" s="16"/>
      <c r="H26" s="16"/>
      <c r="I26" s="16"/>
      <c r="J26" s="16"/>
      <c r="K26" s="140"/>
      <c r="L26" s="125"/>
      <c r="M26" s="125"/>
      <c r="N26" s="125"/>
      <c r="O26" s="125"/>
      <c r="P26" s="125"/>
      <c r="Q26" s="125"/>
      <c r="R26" s="125"/>
      <c r="S26" s="32"/>
      <c r="T26" s="32"/>
      <c r="U26" s="32"/>
      <c r="V26" s="16"/>
    </row>
    <row r="27" spans="4:22" s="10" customFormat="1">
      <c r="D27" s="17" t="s">
        <v>81</v>
      </c>
      <c r="E27" s="18" t="s">
        <v>162</v>
      </c>
      <c r="F27" s="40" t="s">
        <v>96</v>
      </c>
      <c r="G27" s="16"/>
      <c r="H27" s="16"/>
      <c r="I27" s="16"/>
      <c r="J27" s="16"/>
      <c r="K27" s="140"/>
      <c r="L27" s="31">
        <f>J43+J53</f>
        <v>0</v>
      </c>
      <c r="M27" s="31">
        <f t="shared" ref="M27:P27" si="6">K43+K53</f>
        <v>0</v>
      </c>
      <c r="N27" s="31">
        <f t="shared" si="6"/>
        <v>0.49052420158026094</v>
      </c>
      <c r="O27" s="31">
        <f t="shared" si="6"/>
        <v>1.3109803677253029</v>
      </c>
      <c r="P27" s="31">
        <f t="shared" si="6"/>
        <v>-2.0777094006804977</v>
      </c>
      <c r="Q27" s="31"/>
      <c r="R27" s="31"/>
      <c r="S27" s="30"/>
      <c r="T27" s="30"/>
      <c r="U27" s="30"/>
      <c r="V27" s="13" t="s">
        <v>206</v>
      </c>
    </row>
    <row r="28" spans="4:22" s="10" customFormat="1">
      <c r="D28" s="148" t="str">
        <f>Data!D12</f>
        <v>True/False</v>
      </c>
      <c r="E28" s="148" t="str">
        <f>Data!E12</f>
        <v>Company has accepted WRFIM licence modification</v>
      </c>
      <c r="F28" s="148"/>
      <c r="G28" s="148" t="b">
        <f>Data!G12</f>
        <v>1</v>
      </c>
      <c r="H28" s="148" t="str">
        <f>Data!H12</f>
        <v>True/False</v>
      </c>
      <c r="I28" s="140"/>
      <c r="J28" s="140"/>
      <c r="K28" s="140"/>
      <c r="L28" s="31"/>
      <c r="M28" s="31"/>
      <c r="N28" s="31"/>
      <c r="O28" s="31"/>
      <c r="P28" s="31"/>
      <c r="Q28" s="31"/>
      <c r="R28" s="31"/>
      <c r="S28" s="20"/>
      <c r="T28" s="20"/>
      <c r="U28" s="20"/>
      <c r="V28" s="13"/>
    </row>
    <row r="29" spans="4:22" s="10" customFormat="1">
      <c r="D29" s="146" t="s">
        <v>81</v>
      </c>
      <c r="E29" s="148" t="str">
        <f>Data!E51</f>
        <v>Over-recovered 17/18 revenue returned - wastewater</v>
      </c>
      <c r="F29" s="149" t="s">
        <v>96</v>
      </c>
      <c r="G29" s="148"/>
      <c r="H29" s="148"/>
      <c r="I29" s="140"/>
      <c r="J29" s="140"/>
      <c r="K29" s="140"/>
      <c r="L29" s="125"/>
      <c r="M29" s="125"/>
      <c r="N29" s="125"/>
      <c r="O29" s="168">
        <f>(0 - Data!O51)</f>
        <v>0</v>
      </c>
      <c r="P29" s="125"/>
      <c r="Q29" s="31"/>
      <c r="R29" s="31"/>
      <c r="S29" s="20"/>
      <c r="T29" s="20"/>
      <c r="U29" s="20"/>
      <c r="V29" s="13"/>
    </row>
    <row r="30" spans="4:22" s="10" customFormat="1">
      <c r="D30" s="146" t="s">
        <v>81</v>
      </c>
      <c r="E30" s="148" t="s">
        <v>244</v>
      </c>
      <c r="F30" s="149" t="s">
        <v>96</v>
      </c>
      <c r="G30" s="148"/>
      <c r="H30" s="148"/>
      <c r="I30" s="140"/>
      <c r="J30" s="140"/>
      <c r="K30" s="140"/>
      <c r="L30" s="125"/>
      <c r="M30" s="125"/>
      <c r="N30" s="125"/>
      <c r="O30" s="125"/>
      <c r="P30" s="168">
        <f>(0-O29*(1+Discount.Rate))*(INDEX(Indexation.November.Actual.YearOnYear,,MATCH(P$5,Calendar.Years,0)))</f>
        <v>0</v>
      </c>
      <c r="Q30" s="31"/>
      <c r="R30" s="31"/>
      <c r="S30" s="20"/>
      <c r="T30" s="20"/>
      <c r="U30" s="20"/>
      <c r="V30" s="13"/>
    </row>
    <row r="31" spans="4:22" s="10" customFormat="1">
      <c r="D31" s="146" t="s">
        <v>81</v>
      </c>
      <c r="E31" s="148" t="str">
        <f>Data!E54</f>
        <v>Over-recovered 18/19 revenue returned - wastewater</v>
      </c>
      <c r="F31" s="149" t="s">
        <v>96</v>
      </c>
      <c r="G31" s="148"/>
      <c r="H31" s="148"/>
      <c r="I31" s="140"/>
      <c r="J31" s="140"/>
      <c r="K31" s="140"/>
      <c r="L31" s="125"/>
      <c r="M31" s="125"/>
      <c r="N31" s="125"/>
      <c r="O31" s="125"/>
      <c r="P31" s="168">
        <f>(0 - Data!P54)</f>
        <v>0</v>
      </c>
      <c r="Q31" s="31"/>
      <c r="R31" s="31"/>
      <c r="S31" s="20"/>
      <c r="T31" s="20"/>
      <c r="U31" s="20"/>
      <c r="V31" s="13"/>
    </row>
    <row r="32" spans="4:22" s="10" customFormat="1">
      <c r="D32" s="146" t="s">
        <v>81</v>
      </c>
      <c r="E32" s="148" t="s">
        <v>164</v>
      </c>
      <c r="F32" s="149" t="s">
        <v>96</v>
      </c>
      <c r="G32" s="153"/>
      <c r="H32" s="153"/>
      <c r="I32" s="153"/>
      <c r="J32" s="153"/>
      <c r="K32" s="153"/>
      <c r="L32" s="125">
        <f>L15</f>
        <v>294.76856644188814</v>
      </c>
      <c r="M32" s="125">
        <f>M15</f>
        <v>300.48759256184053</v>
      </c>
      <c r="N32" s="125">
        <f>N15</f>
        <v>308.28222683356012</v>
      </c>
      <c r="O32" s="125">
        <f>O15</f>
        <v>320.58106209055603</v>
      </c>
      <c r="P32" s="125">
        <f>P15</f>
        <v>330.55113312157238</v>
      </c>
      <c r="Q32" s="32"/>
      <c r="R32" s="32"/>
      <c r="S32" s="32"/>
      <c r="T32" s="32"/>
      <c r="U32" s="32"/>
      <c r="V32" s="16"/>
    </row>
    <row r="33" spans="1:22" s="10" customFormat="1">
      <c r="D33" s="146" t="s">
        <v>81</v>
      </c>
      <c r="E33" s="148" t="s">
        <v>165</v>
      </c>
      <c r="F33" s="149" t="s">
        <v>96</v>
      </c>
      <c r="G33" s="140"/>
      <c r="H33" s="140"/>
      <c r="I33" s="140"/>
      <c r="J33" s="140"/>
      <c r="K33" s="140"/>
      <c r="L33" s="169">
        <f>AllRev.Outturn.Waste+RCM.BlindYear.Adj.Waste+AMP6.FI.Adj.Waste+L29+L30+L31</f>
        <v>294.76856644188814</v>
      </c>
      <c r="M33" s="169">
        <f>AllRev.Outturn.Waste+RCM.BlindYear.Adj.Waste+AMP6.FI.Adj.Waste+M29+M30+M31</f>
        <v>300.48759256184053</v>
      </c>
      <c r="N33" s="169">
        <f>AllRev.Outturn.Waste+RCM.BlindYear.Adj.Waste+AMP6.FI.Adj.Waste+N29+N30+N31</f>
        <v>308.7727510351404</v>
      </c>
      <c r="O33" s="169">
        <f>AllRev.Outturn.Waste+RCM.BlindYear.Adj.Waste+AMP6.FI.Adj.Waste+O29+O30+O31</f>
        <v>321.89204245828131</v>
      </c>
      <c r="P33" s="169">
        <f>AllRev.Outturn.Waste+RCM.BlindYear.Adj.Waste+AMP6.FI.Adj.Waste+P29+P30+P31</f>
        <v>328.4734237208919</v>
      </c>
      <c r="Q33" s="32"/>
      <c r="R33" s="32"/>
      <c r="S33" s="32"/>
      <c r="T33" s="32"/>
      <c r="U33" s="32"/>
      <c r="V33" s="13" t="s">
        <v>207</v>
      </c>
    </row>
    <row r="34" spans="1:22" s="10" customFormat="1">
      <c r="D34" s="146" t="s">
        <v>81</v>
      </c>
      <c r="E34" s="148" t="s">
        <v>167</v>
      </c>
      <c r="F34" s="149" t="s">
        <v>96</v>
      </c>
      <c r="G34" s="153"/>
      <c r="H34" s="153"/>
      <c r="I34" s="153"/>
      <c r="J34" s="153"/>
      <c r="K34" s="153"/>
      <c r="L34" s="31">
        <f>IF($G28=TRUE,L33,MIN(L32:L33))</f>
        <v>294.76856644188814</v>
      </c>
      <c r="M34" s="31">
        <f t="shared" ref="M34:P34" si="7">IF($G28=TRUE,M33,MIN(M32:M33))</f>
        <v>300.48759256184053</v>
      </c>
      <c r="N34" s="31">
        <f>IF($G28=TRUE,N33,MIN(N32:N33))</f>
        <v>308.7727510351404</v>
      </c>
      <c r="O34" s="31">
        <f t="shared" si="7"/>
        <v>321.89204245828131</v>
      </c>
      <c r="P34" s="31">
        <f t="shared" si="7"/>
        <v>328.4734237208919</v>
      </c>
      <c r="Q34" s="31"/>
      <c r="R34" s="31"/>
      <c r="S34" s="20"/>
      <c r="T34" s="20"/>
      <c r="U34" s="20"/>
      <c r="V34" s="13" t="s">
        <v>208</v>
      </c>
    </row>
    <row r="35" spans="1:22" s="10" customFormat="1">
      <c r="D35" s="17"/>
      <c r="E35" s="18"/>
      <c r="F35" s="40"/>
      <c r="G35" s="16"/>
      <c r="H35" s="16"/>
      <c r="I35" s="16"/>
      <c r="J35" s="16"/>
      <c r="K35" s="140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6"/>
    </row>
    <row r="36" spans="1:22" s="10" customFormat="1">
      <c r="A36" s="16"/>
      <c r="B36" s="16"/>
      <c r="C36" s="16"/>
      <c r="D36" s="17" t="s">
        <v>81</v>
      </c>
      <c r="E36" s="18" t="s">
        <v>169</v>
      </c>
      <c r="F36" s="40" t="s">
        <v>96</v>
      </c>
      <c r="G36" s="16"/>
      <c r="H36" s="16"/>
      <c r="I36" s="16"/>
      <c r="J36" s="16"/>
      <c r="K36" s="140"/>
      <c r="L36" s="31">
        <f>RecRev.Waste</f>
        <v>294.32600000000002</v>
      </c>
      <c r="M36" s="141">
        <f>RecRev.Waste</f>
        <v>299.33699999999999</v>
      </c>
      <c r="N36" s="141">
        <f>RecRev.Waste</f>
        <v>310.58199999999999</v>
      </c>
      <c r="O36" s="141">
        <f>RecRev.Waste</f>
        <v>321.892</v>
      </c>
      <c r="P36" s="141">
        <f>RecRev.Waste</f>
        <v>328.47300000000001</v>
      </c>
      <c r="Q36" s="32"/>
      <c r="R36" s="32"/>
      <c r="S36" s="32"/>
      <c r="T36" s="32"/>
      <c r="U36" s="32"/>
      <c r="V36" s="13"/>
    </row>
    <row r="37" spans="1:22" s="10" customFormat="1">
      <c r="A37" s="16"/>
      <c r="B37" s="16"/>
      <c r="C37" s="16"/>
      <c r="D37" s="17"/>
      <c r="E37" s="18"/>
      <c r="F37" s="40"/>
      <c r="G37" s="16"/>
      <c r="H37" s="16"/>
      <c r="I37" s="16"/>
      <c r="J37" s="16"/>
      <c r="K37" s="140"/>
      <c r="L37" s="32"/>
      <c r="M37" s="32"/>
      <c r="N37" s="32"/>
      <c r="O37" s="32"/>
      <c r="P37" s="32"/>
      <c r="Q37" s="125"/>
      <c r="R37" s="125"/>
      <c r="S37" s="125"/>
      <c r="T37" s="125"/>
      <c r="U37" s="125"/>
      <c r="V37" s="16"/>
    </row>
    <row r="38" spans="1:22" s="10" customFormat="1">
      <c r="A38" s="16"/>
      <c r="B38" s="16"/>
      <c r="C38" s="16"/>
      <c r="D38" s="17" t="s">
        <v>81</v>
      </c>
      <c r="E38" s="18" t="s">
        <v>170</v>
      </c>
      <c r="F38" s="40" t="s">
        <v>96</v>
      </c>
      <c r="G38" s="16"/>
      <c r="H38" s="16"/>
      <c r="I38" s="16"/>
      <c r="J38" s="16"/>
      <c r="K38" s="140"/>
      <c r="L38" s="125">
        <f t="shared" ref="L38:M38" si="8">L36-L33</f>
        <v>-0.44256644188811833</v>
      </c>
      <c r="M38" s="125">
        <f t="shared" si="8"/>
        <v>-1.1505925618405399</v>
      </c>
      <c r="N38" s="125">
        <f>N36-N33</f>
        <v>1.8092489648595915</v>
      </c>
      <c r="O38" s="125">
        <f t="shared" ref="O38:P38" si="9">O36-O33</f>
        <v>-4.2458281313884072E-5</v>
      </c>
      <c r="P38" s="125">
        <f t="shared" si="9"/>
        <v>-4.237208918880242E-4</v>
      </c>
      <c r="Q38" s="32"/>
      <c r="R38" s="32"/>
      <c r="S38" s="32"/>
      <c r="T38" s="32"/>
      <c r="U38" s="32"/>
      <c r="V38" s="16"/>
    </row>
    <row r="39" spans="1:22" s="19" customFormat="1">
      <c r="A39" s="16"/>
      <c r="B39" s="16"/>
      <c r="C39" s="16"/>
      <c r="D39" s="17" t="s">
        <v>68</v>
      </c>
      <c r="E39" s="18" t="s">
        <v>171</v>
      </c>
      <c r="F39" s="40"/>
      <c r="G39" s="16"/>
      <c r="H39" s="16"/>
      <c r="I39" s="16"/>
      <c r="J39" s="16"/>
      <c r="K39" s="140"/>
      <c r="L39" s="142">
        <f>IF(L33=0,0,L38/L33)</f>
        <v>-1.5014031083106266E-3</v>
      </c>
      <c r="M39" s="142">
        <f t="shared" ref="M39:P39" si="10">IF(M33=0,0,M38/M33)</f>
        <v>-3.8290850947655928E-3</v>
      </c>
      <c r="N39" s="142">
        <f t="shared" si="10"/>
        <v>5.8594839045680129E-3</v>
      </c>
      <c r="O39" s="142">
        <f t="shared" si="10"/>
        <v>-1.3190223961310524E-7</v>
      </c>
      <c r="P39" s="142">
        <f t="shared" si="10"/>
        <v>-1.2899700897813434E-6</v>
      </c>
      <c r="Q39" s="32"/>
      <c r="R39" s="32"/>
      <c r="S39" s="32"/>
      <c r="T39" s="32"/>
      <c r="U39" s="32"/>
      <c r="V39" s="13" t="s">
        <v>209</v>
      </c>
    </row>
    <row r="40" spans="1:22" s="25" customFormat="1">
      <c r="A40" s="16"/>
      <c r="B40" s="16"/>
      <c r="C40" s="16"/>
      <c r="D40" s="17"/>
      <c r="E40" s="18"/>
      <c r="F40" s="42"/>
      <c r="K40" s="140"/>
      <c r="L40" s="142"/>
      <c r="M40" s="142"/>
      <c r="N40" s="142"/>
      <c r="O40" s="142"/>
      <c r="P40" s="142"/>
      <c r="Q40" s="125"/>
      <c r="R40" s="125"/>
      <c r="S40" s="125"/>
      <c r="T40" s="125"/>
      <c r="U40" s="125"/>
      <c r="V40" s="13"/>
    </row>
    <row r="41" spans="1:22" s="25" customFormat="1">
      <c r="A41" s="16"/>
      <c r="B41" s="16"/>
      <c r="C41" s="16"/>
      <c r="D41" s="17"/>
      <c r="E41" s="35" t="s">
        <v>173</v>
      </c>
      <c r="F41" s="42"/>
      <c r="K41" s="140"/>
      <c r="L41" s="142"/>
      <c r="M41" s="142"/>
      <c r="N41" s="142"/>
      <c r="O41" s="142"/>
      <c r="P41" s="142"/>
      <c r="Q41" s="125"/>
      <c r="R41" s="125"/>
      <c r="S41" s="125"/>
      <c r="T41" s="125"/>
      <c r="U41" s="125"/>
      <c r="V41" s="13"/>
    </row>
    <row r="42" spans="1:22" s="25" customFormat="1">
      <c r="A42" s="16"/>
      <c r="B42" s="16"/>
      <c r="C42" s="16"/>
      <c r="D42" s="17" t="s">
        <v>81</v>
      </c>
      <c r="E42" s="18" t="s">
        <v>174</v>
      </c>
      <c r="F42" s="40" t="s">
        <v>96</v>
      </c>
      <c r="J42" s="26">
        <v>0</v>
      </c>
      <c r="K42" s="26">
        <v>0</v>
      </c>
      <c r="L42" s="31">
        <f>0-L38*(1+Discount.Rate)*(1+Discount.Rate)</f>
        <v>0.4750047918127499</v>
      </c>
      <c r="M42" s="31">
        <f>0-M38*(1+Discount.Rate)*(1+Discount.Rate)</f>
        <v>1.2349263942532043</v>
      </c>
      <c r="N42" s="31">
        <f>0-N38*(1+Discount.Rate)*(1+Discount.Rate)</f>
        <v>-1.9418596769879402</v>
      </c>
      <c r="O42" s="26"/>
      <c r="P42" s="26"/>
      <c r="Q42" s="125"/>
      <c r="R42" s="125"/>
      <c r="S42" s="125"/>
      <c r="T42" s="125"/>
      <c r="U42" s="125"/>
      <c r="V42" s="13"/>
    </row>
    <row r="43" spans="1:22">
      <c r="A43" s="16"/>
      <c r="B43" s="16"/>
      <c r="C43" s="16"/>
      <c r="D43" s="17" t="s">
        <v>81</v>
      </c>
      <c r="E43" s="18" t="s">
        <v>175</v>
      </c>
      <c r="F43" s="40" t="s">
        <v>176</v>
      </c>
      <c r="G43" s="25"/>
      <c r="H43" s="25"/>
      <c r="I43" s="25"/>
      <c r="J43" s="113">
        <v>0</v>
      </c>
      <c r="K43" s="26">
        <v>0</v>
      </c>
      <c r="L43" s="31">
        <f>L42*INDEX(Indexation.November.Actual.YearOnYear,,MATCH(M$5,Calendar.Years,0))*(INDEX(Indexation.November.Actual.YearOnYear,,MATCH(N$5,Calendar.Years,0)))</f>
        <v>0.49052420158026094</v>
      </c>
      <c r="M43" s="31">
        <f>M42*INDEX(Indexation.November.Actual.YearOnYear,,MATCH(N$5,Calendar.Years,0))*(INDEX(Indexation.November.Actual.YearOnYear,,MATCH(O$5,Calendar.Years,0)))</f>
        <v>1.3109803677253029</v>
      </c>
      <c r="N43" s="31">
        <f>N42*INDEX(Indexation.November.Actual.YearOnYear,,MATCH(O$5,Calendar.Years,0))*(INDEX(Indexation.November.Actual.YearOnYear,,MATCH(P$5,Calendar.Years,0)))</f>
        <v>-2.0777094006804977</v>
      </c>
      <c r="O43" s="26"/>
      <c r="P43" s="26"/>
    </row>
    <row r="44" spans="1:22">
      <c r="A44" s="16"/>
      <c r="B44" s="16"/>
      <c r="C44" s="16"/>
      <c r="D44" s="17" t="s">
        <v>81</v>
      </c>
      <c r="E44" s="18" t="s">
        <v>177</v>
      </c>
      <c r="F44" s="40" t="s">
        <v>96</v>
      </c>
      <c r="G44" s="25"/>
      <c r="H44" s="25"/>
      <c r="I44" s="25"/>
      <c r="J44" s="26"/>
      <c r="K44" s="26"/>
      <c r="L44" s="26"/>
      <c r="M44" s="26"/>
      <c r="N44" s="31">
        <f>L43</f>
        <v>0.49052420158026094</v>
      </c>
      <c r="O44" s="31">
        <f>M43</f>
        <v>1.3109803677253029</v>
      </c>
      <c r="P44" s="31">
        <f>N43</f>
        <v>-2.0777094006804977</v>
      </c>
    </row>
    <row r="45" spans="1:22">
      <c r="A45" s="16"/>
      <c r="B45" s="16"/>
      <c r="C45" s="16"/>
      <c r="D45" s="17"/>
      <c r="E45" s="21"/>
      <c r="F45" s="40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2">
      <c r="A46" s="16"/>
      <c r="B46" s="16"/>
      <c r="C46" s="16"/>
      <c r="D46" s="17"/>
      <c r="E46" s="35" t="s">
        <v>178</v>
      </c>
      <c r="F46" s="40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2">
      <c r="A47" s="16"/>
      <c r="B47" s="16"/>
      <c r="C47" s="16"/>
      <c r="D47" s="17" t="s">
        <v>68</v>
      </c>
      <c r="E47" s="18" t="s">
        <v>179</v>
      </c>
      <c r="F47" s="40"/>
      <c r="G47" s="25"/>
      <c r="H47" s="25"/>
      <c r="I47" s="25"/>
      <c r="J47" s="25"/>
      <c r="K47" s="25"/>
      <c r="L47" s="142">
        <f>IF(L34=0,0,ABS((L36-L34)/L34))</f>
        <v>1.5014031083106266E-3</v>
      </c>
      <c r="M47" s="142">
        <f t="shared" ref="M47:P47" si="11">IF(M34=0,0,ABS((M36-M34)/M34))</f>
        <v>3.8290850947655928E-3</v>
      </c>
      <c r="N47" s="142">
        <f t="shared" si="11"/>
        <v>5.8594839045680129E-3</v>
      </c>
      <c r="O47" s="142">
        <f>IF(O34=0,0,ABS((O36-O34)/O34))</f>
        <v>1.3190223961310524E-7</v>
      </c>
      <c r="P47" s="142">
        <f t="shared" si="11"/>
        <v>1.2899700897813434E-6</v>
      </c>
    </row>
    <row r="48" spans="1:22">
      <c r="A48" s="16"/>
      <c r="B48" s="16"/>
      <c r="C48" s="16"/>
      <c r="D48" s="23" t="s">
        <v>180</v>
      </c>
      <c r="E48" s="18" t="s">
        <v>181</v>
      </c>
      <c r="F48" s="40"/>
      <c r="G48" s="16"/>
      <c r="H48" s="16"/>
      <c r="I48" s="16"/>
      <c r="J48" s="16"/>
      <c r="K48" s="140"/>
      <c r="L48" s="144" t="b">
        <f>L47&gt;Threshold.Min</f>
        <v>0</v>
      </c>
      <c r="M48" s="144" t="b">
        <f>M47&gt;Threshold.Min</f>
        <v>0</v>
      </c>
      <c r="N48" s="144" t="b">
        <f>N47&gt;Threshold.Min</f>
        <v>0</v>
      </c>
      <c r="O48" s="144" t="b">
        <f>O47&gt;Threshold.Min</f>
        <v>0</v>
      </c>
      <c r="P48" s="144" t="b">
        <f>P47&gt;Threshold.Min</f>
        <v>0</v>
      </c>
      <c r="Q48" s="32"/>
      <c r="R48" s="32"/>
      <c r="S48" s="32"/>
      <c r="T48" s="32"/>
      <c r="U48" s="32"/>
    </row>
    <row r="49" spans="1:23">
      <c r="A49" s="16"/>
      <c r="B49" s="16"/>
      <c r="C49" s="16"/>
      <c r="D49" s="17" t="s">
        <v>68</v>
      </c>
      <c r="E49" s="18" t="s">
        <v>182</v>
      </c>
      <c r="F49" s="42"/>
      <c r="K49" s="140"/>
      <c r="L49" s="142">
        <f>L48*Penalty.Rate.General*MIN(1,(L47-Threshold.Min)/(Threshold.Max-Threshold.Min))</f>
        <v>0</v>
      </c>
      <c r="M49" s="142">
        <f>M48*Penalty.Rate.General*MIN(1,(M47-Threshold.Min)/(Threshold.Max-Threshold.Min))</f>
        <v>0</v>
      </c>
      <c r="N49" s="142">
        <f>N48*Penalty.Rate.General*MIN(1,(N47-Threshold.Min)/(Threshold.Max-Threshold.Min))</f>
        <v>0</v>
      </c>
      <c r="O49" s="142">
        <f>O48*Penalty.Rate.General*MIN(1,(O47-Threshold.Min)/(Threshold.Max-Threshold.Min))</f>
        <v>0</v>
      </c>
      <c r="P49" s="142">
        <f>P48*Penalty.Rate.General*MIN(1,(P47-Threshold.Min)/(Threshold.Max-Threshold.Min))</f>
        <v>0</v>
      </c>
      <c r="Q49" s="32"/>
      <c r="R49" s="32"/>
      <c r="S49" s="32"/>
      <c r="T49" s="32"/>
      <c r="U49" s="32"/>
    </row>
    <row r="50" spans="1:23">
      <c r="A50" s="16"/>
      <c r="B50" s="16"/>
      <c r="C50" s="16"/>
      <c r="D50" s="17"/>
      <c r="E50" s="35"/>
      <c r="F50" s="40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3">
      <c r="A51" s="16"/>
      <c r="B51" s="16"/>
      <c r="C51" s="16"/>
      <c r="D51" s="17" t="s">
        <v>81</v>
      </c>
      <c r="E51" s="18" t="s">
        <v>183</v>
      </c>
      <c r="F51" s="40" t="s">
        <v>96</v>
      </c>
      <c r="G51" s="25"/>
      <c r="H51" s="25"/>
      <c r="I51" s="25"/>
      <c r="J51" s="26"/>
      <c r="K51" s="26"/>
      <c r="L51" s="31">
        <f>0-L49*ABS(L36-L34)</f>
        <v>0</v>
      </c>
      <c r="M51" s="31">
        <f>0-M49*ABS(M36-M34)</f>
        <v>0</v>
      </c>
      <c r="N51" s="31">
        <f>0-N49*ABS(N36-N34)</f>
        <v>0</v>
      </c>
      <c r="O51" s="31">
        <f t="shared" ref="O51:P51" si="12">0-O49*ABS(O36-O34)</f>
        <v>0</v>
      </c>
      <c r="P51" s="31">
        <f t="shared" si="12"/>
        <v>0</v>
      </c>
    </row>
    <row r="52" spans="1:23">
      <c r="A52" s="16"/>
      <c r="B52" s="16"/>
      <c r="C52" s="16"/>
      <c r="D52" s="17" t="s">
        <v>81</v>
      </c>
      <c r="E52" s="18" t="s">
        <v>184</v>
      </c>
      <c r="F52" s="40" t="s">
        <v>96</v>
      </c>
      <c r="G52" s="25"/>
      <c r="H52" s="25"/>
      <c r="I52" s="25"/>
      <c r="J52" s="113"/>
      <c r="K52" s="26"/>
      <c r="L52" s="31">
        <f>L51*(1+Discount.Rate)</f>
        <v>0</v>
      </c>
      <c r="M52" s="31">
        <f>M51*(1+Discount.Rate)</f>
        <v>0</v>
      </c>
      <c r="N52" s="31">
        <f>N51*(1+Discount.Rate)</f>
        <v>0</v>
      </c>
      <c r="O52" s="26"/>
      <c r="P52" s="26"/>
    </row>
    <row r="53" spans="1:23">
      <c r="A53" s="16"/>
      <c r="B53" s="16"/>
      <c r="C53" s="16"/>
      <c r="D53" s="17" t="s">
        <v>81</v>
      </c>
      <c r="E53" s="18" t="s">
        <v>185</v>
      </c>
      <c r="F53" s="40" t="s">
        <v>96</v>
      </c>
      <c r="G53" s="25"/>
      <c r="H53" s="25"/>
      <c r="I53" s="25"/>
      <c r="J53" s="26"/>
      <c r="K53" s="26"/>
      <c r="L53" s="31">
        <f>L52*INDEX(Indexation.November.Actual.YearOnYear,,MATCH(M$5,Calendar.Years,0))*(INDEX(Indexation.November.Actual.YearOnYear,,MATCH(N$5,Calendar.Years,0)))</f>
        <v>0</v>
      </c>
      <c r="M53" s="31">
        <f>M52*INDEX(Indexation.November.Actual.YearOnYear,,MATCH(N$5,Calendar.Years,0))*(INDEX(Indexation.November.Actual.YearOnYear,,MATCH(O$5,Calendar.Years,0)))</f>
        <v>0</v>
      </c>
      <c r="N53" s="31">
        <f>N52*INDEX(Indexation.November.Actual.YearOnYear,,MATCH(O$5,Calendar.Years,0))*(INDEX(Indexation.November.Actual.YearOnYear,,MATCH(P$5,Calendar.Years,0)))</f>
        <v>0</v>
      </c>
      <c r="O53" s="26"/>
      <c r="P53" s="26"/>
    </row>
    <row r="54" spans="1:23">
      <c r="A54" s="16"/>
      <c r="B54" s="16"/>
      <c r="C54" s="16"/>
      <c r="D54" s="17" t="s">
        <v>81</v>
      </c>
      <c r="E54" s="18" t="s">
        <v>186</v>
      </c>
      <c r="F54" s="40" t="s">
        <v>96</v>
      </c>
      <c r="G54" s="25"/>
      <c r="H54" s="25"/>
      <c r="I54" s="25"/>
      <c r="J54" s="26"/>
      <c r="K54" s="26"/>
      <c r="L54" s="26"/>
      <c r="M54" s="26"/>
      <c r="N54" s="31">
        <f>L53</f>
        <v>0</v>
      </c>
      <c r="O54" s="31">
        <f>M53</f>
        <v>0</v>
      </c>
      <c r="P54" s="31">
        <f>N53</f>
        <v>0</v>
      </c>
    </row>
    <row r="55" spans="1:23">
      <c r="A55" s="16"/>
      <c r="B55" s="16"/>
      <c r="C55" s="1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3">
      <c r="A56" s="16"/>
      <c r="B56" s="16"/>
      <c r="C56" s="16"/>
      <c r="D56" s="25"/>
      <c r="E56" s="35" t="s">
        <v>187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23">
      <c r="A57" s="16"/>
      <c r="B57" s="16"/>
      <c r="C57" s="16"/>
      <c r="D57" s="17" t="s">
        <v>81</v>
      </c>
      <c r="E57" s="18" t="s">
        <v>177</v>
      </c>
      <c r="F57" s="40" t="s">
        <v>96</v>
      </c>
      <c r="G57" s="25"/>
      <c r="H57" s="25"/>
      <c r="I57" s="25"/>
      <c r="J57" s="25"/>
      <c r="K57" s="25"/>
      <c r="L57" s="26"/>
      <c r="M57" s="26"/>
      <c r="N57" s="31">
        <f>N44</f>
        <v>0.49052420158026094</v>
      </c>
      <c r="O57" s="31">
        <f>O44</f>
        <v>1.3109803677253029</v>
      </c>
      <c r="P57" s="31">
        <f>P44</f>
        <v>-2.0777094006804977</v>
      </c>
    </row>
    <row r="58" spans="1:23">
      <c r="A58" s="16"/>
      <c r="B58" s="16"/>
      <c r="C58" s="16"/>
      <c r="D58" s="17" t="s">
        <v>81</v>
      </c>
      <c r="E58" s="18" t="s">
        <v>186</v>
      </c>
      <c r="F58" s="40" t="s">
        <v>96</v>
      </c>
      <c r="G58" s="25"/>
      <c r="H58" s="25"/>
      <c r="I58" s="25"/>
      <c r="J58" s="25"/>
      <c r="K58" s="25"/>
      <c r="L58" s="26"/>
      <c r="M58" s="26"/>
      <c r="N58" s="31">
        <f>N54</f>
        <v>0</v>
      </c>
      <c r="O58" s="31">
        <f>O54</f>
        <v>0</v>
      </c>
      <c r="P58" s="31">
        <f>P54</f>
        <v>0</v>
      </c>
    </row>
    <row r="59" spans="1:23">
      <c r="A59" s="16"/>
      <c r="B59" s="16"/>
      <c r="C59" s="16"/>
      <c r="D59" s="17" t="s">
        <v>81</v>
      </c>
      <c r="E59" s="18" t="s">
        <v>188</v>
      </c>
      <c r="F59" s="40" t="s">
        <v>96</v>
      </c>
      <c r="K59" s="140"/>
      <c r="L59" s="26"/>
      <c r="M59" s="26"/>
      <c r="N59" s="31">
        <f>SUM(N57:N58)</f>
        <v>0.49052420158026094</v>
      </c>
      <c r="O59" s="31">
        <f>SUM(O57:O58)</f>
        <v>1.3109803677253029</v>
      </c>
      <c r="P59" s="31">
        <f>SUM(P57:P58)</f>
        <v>-2.0777094006804977</v>
      </c>
    </row>
    <row r="60" spans="1:23">
      <c r="A60" s="16"/>
      <c r="B60" s="16"/>
      <c r="C60" s="16"/>
      <c r="F60" s="42"/>
      <c r="K60" s="140"/>
    </row>
    <row r="61" spans="1:23">
      <c r="E61" s="40" t="s">
        <v>189</v>
      </c>
      <c r="F61" s="42"/>
      <c r="K61" s="140"/>
    </row>
    <row r="62" spans="1:23">
      <c r="D62" s="23" t="s">
        <v>180</v>
      </c>
      <c r="E62" s="18" t="s">
        <v>190</v>
      </c>
      <c r="F62" s="42"/>
      <c r="K62" s="140"/>
      <c r="L62" s="144" t="b">
        <f>ABS(Perc.Recovered.Waste)&gt;Additional.Analysis</f>
        <v>0</v>
      </c>
      <c r="M62" s="144" t="b">
        <f>ABS(Perc.Recovered.Waste)&gt;Additional.Analysis</f>
        <v>0</v>
      </c>
      <c r="N62" s="144" t="b">
        <f>ABS(Perc.Recovered.Waste)&gt;Additional.Analysis</f>
        <v>0</v>
      </c>
      <c r="O62" s="144" t="b">
        <f>ABS(Perc.Recovered.Waste)&gt;Additional.Analysis</f>
        <v>0</v>
      </c>
      <c r="P62" s="144" t="b">
        <f>ABS(Perc.Recovered.Waste)&gt;Additional.Analysis</f>
        <v>0</v>
      </c>
    </row>
    <row r="63" spans="1:23">
      <c r="D63" s="23"/>
      <c r="E63" s="18"/>
      <c r="F63" s="42"/>
    </row>
    <row r="64" spans="1:23" s="7" customFormat="1" ht="15">
      <c r="A64" s="134"/>
      <c r="B64" s="8"/>
      <c r="C64" s="8"/>
      <c r="D64" s="138"/>
      <c r="E64" s="135" t="s">
        <v>191</v>
      </c>
      <c r="F64" s="136"/>
      <c r="G64" s="27"/>
      <c r="H64" s="27"/>
      <c r="I64" s="27"/>
      <c r="J64" s="27"/>
      <c r="K64" s="27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7"/>
      <c r="W64" s="27"/>
    </row>
    <row r="65" spans="1:23">
      <c r="E65" s="18"/>
      <c r="F65" s="42"/>
    </row>
    <row r="66" spans="1:23">
      <c r="E66" s="40" t="s">
        <v>192</v>
      </c>
      <c r="F66" s="42"/>
    </row>
    <row r="67" spans="1:23">
      <c r="D67" s="17" t="s">
        <v>81</v>
      </c>
      <c r="E67" s="18" t="s">
        <v>193</v>
      </c>
      <c r="F67" s="40" t="s">
        <v>96</v>
      </c>
      <c r="L67" s="26"/>
      <c r="M67" s="26"/>
      <c r="N67" s="26"/>
      <c r="O67" s="26"/>
      <c r="P67" s="31">
        <f>0-O38*(1+Discount.Rate)*Indexation.November.Actual.YearOnYear</f>
        <v>4.5306382824419418E-5</v>
      </c>
    </row>
    <row r="68" spans="1:23">
      <c r="D68" s="17" t="s">
        <v>81</v>
      </c>
      <c r="E68" s="18" t="s">
        <v>194</v>
      </c>
      <c r="F68" s="40" t="s">
        <v>96</v>
      </c>
      <c r="L68" s="26"/>
      <c r="M68" s="26"/>
      <c r="N68" s="26"/>
      <c r="O68" s="26"/>
      <c r="P68" s="31">
        <f>O51*Indexation.November.Actual.YearOnYear</f>
        <v>0</v>
      </c>
    </row>
    <row r="69" spans="1:23">
      <c r="D69" s="17" t="s">
        <v>81</v>
      </c>
      <c r="E69" s="18" t="s">
        <v>195</v>
      </c>
      <c r="F69" s="40" t="s">
        <v>96</v>
      </c>
      <c r="L69" s="26"/>
      <c r="M69" s="26"/>
      <c r="N69" s="26"/>
      <c r="O69" s="26"/>
      <c r="P69" s="31">
        <f>SUM(P67:P68)</f>
        <v>4.5306382824419418E-5</v>
      </c>
    </row>
    <row r="70" spans="1:23">
      <c r="F70" s="42"/>
    </row>
    <row r="71" spans="1:23">
      <c r="E71" s="40" t="s">
        <v>196</v>
      </c>
      <c r="F71" s="42"/>
    </row>
    <row r="72" spans="1:23">
      <c r="D72" s="17" t="s">
        <v>81</v>
      </c>
      <c r="E72" s="18" t="s">
        <v>197</v>
      </c>
      <c r="F72" s="40" t="s">
        <v>96</v>
      </c>
      <c r="L72" s="26"/>
      <c r="M72" s="26"/>
      <c r="N72" s="26"/>
      <c r="O72" s="26"/>
      <c r="P72" s="31">
        <f>0-P38</f>
        <v>4.237208918880242E-4</v>
      </c>
    </row>
    <row r="73" spans="1:23">
      <c r="D73" s="17" t="s">
        <v>81</v>
      </c>
      <c r="E73" s="18" t="s">
        <v>198</v>
      </c>
      <c r="F73" s="40" t="s">
        <v>96</v>
      </c>
      <c r="L73" s="26"/>
      <c r="M73" s="26"/>
      <c r="N73" s="26"/>
      <c r="O73" s="26"/>
      <c r="P73" s="31">
        <f>P51</f>
        <v>0</v>
      </c>
    </row>
    <row r="74" spans="1:23">
      <c r="D74" s="17" t="s">
        <v>81</v>
      </c>
      <c r="E74" s="18" t="s">
        <v>199</v>
      </c>
      <c r="F74" s="40" t="s">
        <v>96</v>
      </c>
      <c r="L74" s="26"/>
      <c r="M74" s="26"/>
      <c r="N74" s="26"/>
      <c r="O74" s="26"/>
      <c r="P74" s="31">
        <f>SUM(P72:P73)</f>
        <v>4.237208918880242E-4</v>
      </c>
    </row>
    <row r="75" spans="1:23">
      <c r="E75" s="18"/>
      <c r="F75" s="42"/>
    </row>
    <row r="76" spans="1:23">
      <c r="D76" s="17" t="s">
        <v>81</v>
      </c>
      <c r="E76" s="35" t="s">
        <v>200</v>
      </c>
      <c r="F76" s="40" t="s">
        <v>96</v>
      </c>
      <c r="L76" s="26"/>
      <c r="M76" s="26"/>
      <c r="N76" s="26"/>
      <c r="O76" s="26"/>
      <c r="P76" s="31">
        <f>SUM(P69,P74)</f>
        <v>4.6902727471244361E-4</v>
      </c>
      <c r="Q76" s="13" t="s">
        <v>210</v>
      </c>
    </row>
    <row r="77" spans="1:23" ht="13.5" thickBot="1">
      <c r="E77" s="22"/>
      <c r="F77" s="42"/>
    </row>
    <row r="78" spans="1:23" ht="13.5" thickBot="1">
      <c r="A78" s="11" t="s">
        <v>111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/>
    <row r="80" spans="1:2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/>
    <row r="155"/>
    <row r="156"/>
  </sheetData>
  <sheetProtection algorithmName="SHA-512" hashValue="qA69AvI3Ff2HTngHcWOeemItgfEhrMMrAegGcTBX1ypGHHaaePN3JH7OxWhaT6v64i9n7Zr2rUMTWWRSWeQrJA==" saltValue="HHMa7Mtxq4pr0ZGoC6x98Q==" spinCount="100000" sheet="1" objects="1" scenarios="1"/>
  <conditionalFormatting sqref="L62:P62">
    <cfRule type="cellIs" dxfId="1" priority="2" operator="equal">
      <formula>TRUE</formula>
    </cfRule>
  </conditionalFormatting>
  <conditionalFormatting sqref="L48:P48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P10" sqref="P10"/>
    </sheetView>
  </sheetViews>
  <sheetFormatPr defaultColWidth="0" defaultRowHeight="0" customHeight="1" zeroHeight="1"/>
  <cols>
    <col min="1" max="3" width="2.5703125" style="10" customWidth="1"/>
    <col min="4" max="4" width="9.5703125" style="10" customWidth="1"/>
    <col min="5" max="5" width="49.42578125" style="10" customWidth="1"/>
    <col min="6" max="6" width="15.85546875" style="40" customWidth="1"/>
    <col min="7" max="8" width="2.5703125" style="10" customWidth="1"/>
    <col min="9" max="15" width="9.5703125" style="10" customWidth="1"/>
    <col min="16" max="16" width="10.5703125" style="10" bestFit="1" customWidth="1"/>
    <col min="17" max="21" width="9.5703125" style="10" customWidth="1"/>
    <col min="22" max="22" width="15.85546875" style="10" customWidth="1"/>
    <col min="23" max="16384" width="9.140625" style="10" hidden="1"/>
  </cols>
  <sheetData>
    <row r="1" spans="1:24" ht="33.75">
      <c r="A1" s="1"/>
      <c r="B1" s="1"/>
      <c r="C1" s="1"/>
      <c r="D1" s="28" t="s">
        <v>211</v>
      </c>
      <c r="E1" s="2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6"/>
      <c r="X1" s="16"/>
    </row>
    <row r="2" spans="1:24" ht="15">
      <c r="A2" s="2"/>
      <c r="B2" s="2"/>
      <c r="C2" s="2"/>
      <c r="D2" s="2"/>
      <c r="E2" s="2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  <c r="W2" s="16"/>
      <c r="X2" s="16"/>
    </row>
    <row r="3" spans="1:24" ht="12.75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  <c r="X3" s="16"/>
    </row>
    <row r="4" spans="1:24" ht="12.75">
      <c r="A4" s="16"/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  <c r="X4" s="16"/>
    </row>
    <row r="5" spans="1:24" ht="12.75">
      <c r="A5" s="16"/>
      <c r="B5" s="16"/>
      <c r="C5" s="16"/>
      <c r="D5" s="16"/>
      <c r="E5" s="16" t="s">
        <v>58</v>
      </c>
      <c r="G5" s="16"/>
      <c r="H5" s="16"/>
      <c r="I5" s="146">
        <f t="shared" ref="I5:U5" si="1">Calendar.Years</f>
        <v>2012</v>
      </c>
      <c r="J5" s="146">
        <f t="shared" si="1"/>
        <v>2013</v>
      </c>
      <c r="K5" s="146">
        <f t="shared" si="1"/>
        <v>2014</v>
      </c>
      <c r="L5" s="146">
        <f t="shared" si="1"/>
        <v>2015</v>
      </c>
      <c r="M5" s="146">
        <f t="shared" si="1"/>
        <v>2016</v>
      </c>
      <c r="N5" s="146">
        <f t="shared" si="1"/>
        <v>2017</v>
      </c>
      <c r="O5" s="146">
        <f t="shared" si="1"/>
        <v>2018</v>
      </c>
      <c r="P5" s="146">
        <f t="shared" si="1"/>
        <v>2019</v>
      </c>
      <c r="Q5" s="146">
        <f t="shared" si="1"/>
        <v>2020</v>
      </c>
      <c r="R5" s="146">
        <f t="shared" si="1"/>
        <v>2021</v>
      </c>
      <c r="S5" s="146">
        <f t="shared" si="1"/>
        <v>2022</v>
      </c>
      <c r="T5" s="146">
        <f t="shared" si="1"/>
        <v>2023</v>
      </c>
      <c r="U5" s="146">
        <f t="shared" si="1"/>
        <v>2024</v>
      </c>
      <c r="V5" s="13"/>
      <c r="W5" s="16"/>
      <c r="X5" s="16"/>
    </row>
    <row r="6" spans="1:24" ht="12.75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  <c r="X6" s="16"/>
    </row>
    <row r="7" spans="1:24" ht="12.75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7" customFormat="1" ht="15">
      <c r="A8" s="134"/>
      <c r="B8" s="8"/>
      <c r="C8" s="8"/>
      <c r="D8" s="138"/>
      <c r="E8" s="135" t="s">
        <v>212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  <c r="X8" s="27"/>
    </row>
    <row r="9" spans="1:24" ht="12.75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2.75">
      <c r="A10" s="16"/>
      <c r="B10" s="16"/>
      <c r="C10" s="16"/>
      <c r="D10" s="17" t="s">
        <v>81</v>
      </c>
      <c r="E10" s="35" t="s">
        <v>213</v>
      </c>
      <c r="F10" s="40" t="s">
        <v>96</v>
      </c>
      <c r="G10" s="16"/>
      <c r="H10" s="16"/>
      <c r="I10" s="16"/>
      <c r="J10" s="16"/>
      <c r="K10" s="16"/>
      <c r="L10" s="26"/>
      <c r="M10" s="26"/>
      <c r="N10" s="26"/>
      <c r="O10" s="26"/>
      <c r="P10" s="31">
        <f>WRFIM.Water</f>
        <v>5.1043348922784619E-4</v>
      </c>
      <c r="Q10" s="16"/>
      <c r="R10" s="16"/>
      <c r="S10" s="16"/>
      <c r="T10" s="16"/>
      <c r="U10" s="16"/>
      <c r="V10" s="16"/>
      <c r="W10" s="16"/>
      <c r="X10" s="16"/>
    </row>
    <row r="11" spans="1:24" ht="12.75">
      <c r="A11" s="16"/>
      <c r="B11" s="16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31"/>
      <c r="Q11" s="16"/>
      <c r="R11" s="16"/>
      <c r="S11" s="16"/>
      <c r="T11" s="16"/>
      <c r="U11" s="16"/>
      <c r="V11" s="16"/>
      <c r="W11" s="16"/>
      <c r="X11" s="16"/>
    </row>
    <row r="12" spans="1:24" ht="12.75">
      <c r="A12" s="16"/>
      <c r="B12" s="16"/>
      <c r="C12" s="16"/>
      <c r="D12" s="17" t="s">
        <v>81</v>
      </c>
      <c r="E12" s="35" t="s">
        <v>214</v>
      </c>
      <c r="F12" s="40" t="s">
        <v>96</v>
      </c>
      <c r="G12" s="16"/>
      <c r="H12" s="16"/>
      <c r="I12" s="16"/>
      <c r="J12" s="16"/>
      <c r="K12" s="16"/>
      <c r="L12" s="26"/>
      <c r="M12" s="26"/>
      <c r="N12" s="26"/>
      <c r="O12" s="26"/>
      <c r="P12" s="31">
        <f>WRFIM.Waste</f>
        <v>4.6902727471244361E-4</v>
      </c>
      <c r="Q12" s="16"/>
      <c r="R12" s="16"/>
      <c r="S12" s="16"/>
      <c r="T12" s="16"/>
      <c r="U12" s="16"/>
      <c r="V12" s="16"/>
      <c r="W12" s="16"/>
      <c r="X12" s="16"/>
    </row>
    <row r="13" spans="1:24" ht="13.5" thickBot="1">
      <c r="A13" s="16"/>
      <c r="B13" s="16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thickBot="1">
      <c r="A14" s="11" t="s">
        <v>111</v>
      </c>
      <c r="B14" s="12"/>
      <c r="C14" s="12"/>
      <c r="D14" s="12"/>
      <c r="E14" s="12"/>
      <c r="F14" s="4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/>
      <c r="X14" s="16"/>
    </row>
    <row r="15" spans="1:24" ht="12.75">
      <c r="A15" s="16"/>
      <c r="B15" s="16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hidden="1" customHeight="1">
      <c r="A16" s="16"/>
      <c r="B16" s="16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sheetProtection algorithmName="SHA-512" hashValue="WPi0Zzj1DSwRkkV+SK8/UM1y81ocQmY3Q4i1NP0vnc9K/U7/jvTsKbUXP3kEAx05Zjg5jPZ/wOlhGRfrKsh0rQ==" saltValue="JNnR6fC/TxMp9Gd1CLL6N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A20" sqref="A20"/>
    </sheetView>
  </sheetViews>
  <sheetFormatPr defaultColWidth="0" defaultRowHeight="12.75" zeroHeight="1"/>
  <cols>
    <col min="1" max="3" width="2.5703125" style="3" customWidth="1"/>
    <col min="4" max="4" width="9.5703125" style="3" customWidth="1"/>
    <col min="5" max="5" width="18.42578125" style="3" customWidth="1"/>
    <col min="6" max="8" width="2.5703125" style="3" customWidth="1"/>
    <col min="9" max="15" width="10" style="3" customWidth="1"/>
    <col min="16" max="17" width="10.42578125" style="3" customWidth="1"/>
    <col min="18" max="18" width="10.42578125" style="10" customWidth="1"/>
    <col min="19" max="19" width="10.85546875" style="10" customWidth="1"/>
    <col min="20" max="21" width="10.85546875" style="3" customWidth="1"/>
    <col min="22" max="22" width="15.85546875" style="3" customWidth="1"/>
    <col min="23" max="24" width="0" style="3" hidden="1" customWidth="1"/>
    <col min="25" max="16384" width="9.140625" style="3" hidden="1"/>
  </cols>
  <sheetData>
    <row r="1" spans="1:22" ht="33.75">
      <c r="A1" s="1"/>
      <c r="B1" s="1"/>
      <c r="C1" s="1"/>
      <c r="D1" s="28" t="s">
        <v>215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>
      <c r="A2" s="2"/>
      <c r="B2" s="2"/>
      <c r="C2" s="2"/>
      <c r="D2" s="2"/>
      <c r="E2" s="2"/>
      <c r="F2" s="16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</row>
    <row r="3" spans="1:22">
      <c r="A3" s="16"/>
      <c r="B3" s="16"/>
      <c r="C3" s="16"/>
      <c r="D3" s="16"/>
      <c r="E3" s="16" t="s">
        <v>57</v>
      </c>
      <c r="F3" s="16"/>
      <c r="G3" s="16"/>
      <c r="H3" s="16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3" t="s">
        <v>229</v>
      </c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</row>
    <row r="5" spans="1:22">
      <c r="A5" s="16"/>
      <c r="B5" s="16"/>
      <c r="C5" s="16"/>
      <c r="D5" s="16"/>
      <c r="E5" s="16" t="s">
        <v>58</v>
      </c>
      <c r="F5" s="16"/>
      <c r="G5" s="16"/>
      <c r="H5" s="16"/>
      <c r="I5" s="146">
        <v>2012</v>
      </c>
      <c r="J5" s="146">
        <v>2013</v>
      </c>
      <c r="K5" s="146">
        <v>2014</v>
      </c>
      <c r="L5" s="146">
        <v>2015</v>
      </c>
      <c r="M5" s="146">
        <v>2016</v>
      </c>
      <c r="N5" s="146">
        <v>2017</v>
      </c>
      <c r="O5" s="146">
        <v>2018</v>
      </c>
      <c r="P5" s="146">
        <v>2019</v>
      </c>
      <c r="Q5" s="146">
        <v>2020</v>
      </c>
      <c r="R5" s="146">
        <v>2021</v>
      </c>
      <c r="S5" s="146">
        <v>2022</v>
      </c>
      <c r="T5" s="146">
        <v>2023</v>
      </c>
      <c r="U5" s="146">
        <v>2024</v>
      </c>
      <c r="V5" s="13" t="s">
        <v>230</v>
      </c>
    </row>
    <row r="6" spans="1:22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0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3.5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3.5" thickBot="1">
      <c r="A10" s="11" t="s">
        <v>111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sheetProtection algorithmName="SHA-512" hashValue="oTRNBNFg0ixCuBJ+IAkHNXcg5JJ7PvdmLbcBS+4yx/e8teWmmN0OPm/lYqJKEc7UWh6my3f97AvvuscAmARcvg==" saltValue="79csjtdwI0LyEPd3Dn5v5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oregSeniorManagerTriggerDate xmlns="7192ae00-d4fd-49ae-a62e-bdd9baa466d2">2018-06-03T23:00:00+00:00</ecoregSeniorManagerTriggerDate>
    <ecoregMethodologyUploaded xmlns="7192ae00-d4fd-49ae-a62e-bdd9baa466d2">Yes</ecoregMethodologyUploaded>
    <ecoregDataProviderComments xmlns="7192ae00-d4fd-49ae-a62e-bdd9baa466d2" xsi:nil="true"/>
    <ecoregPreviousStatus xmlns="7192ae00-d4fd-49ae-a62e-bdd9baa466d2">Complete</ecoregPreviousStatus>
    <ecoregAuditorTriggerDate xmlns="7192ae00-d4fd-49ae-a62e-bdd9baa466d2" xsi:nil="true"/>
    <ecoregDataReviewerComments xmlns="7192ae00-d4fd-49ae-a62e-bdd9baa466d2" xsi:nil="true"/>
    <ecoregDataProviderTriggerDate xmlns="7192ae00-d4fd-49ae-a62e-bdd9baa466d2">2018-05-08T23:00:00+00:00</ecoregDataProviderTriggerDate>
    <ecoregAuditorComments xmlns="7192ae00-d4fd-49ae-a62e-bdd9baa466d2" xsi:nil="true"/>
    <ecoregSeniorManagerComments xmlns="7192ae00-d4fd-49ae-a62e-bdd9baa466d2" xsi:nil="true"/>
    <Regulatory_x0020_Reports_x0020_Library_x0020_Workflow_x0020_1202_x002d_01 xmlns="e56acf47-464f-484f-b26f-0b037f25e56c">
      <Url xsi:nil="true"/>
      <Description xsi:nil="true"/>
    </Regulatory_x0020_Reports_x0020_Library_x0020_Workflow_x0020_1202_x002d_01>
    <ecoregDataReviewer xmlns="7192ae00-d4fd-49ae-a62e-bdd9baa466d2">
      <UserInfo>
        <DisplayName>Neil Rutherford</DisplayName>
        <AccountId>644</AccountId>
        <AccountType/>
      </UserInfo>
    </ecoregDataReviewer>
    <ecoregSeniorManager xmlns="7192ae00-d4fd-49ae-a62e-bdd9baa466d2">
      <UserInfo>
        <DisplayName>Crawford Winton</DisplayName>
        <AccountId>615</AccountId>
        <AccountType/>
      </UserInfo>
    </ecoregSeniorManager>
    <ecoregDataReviewerTriggerDate xmlns="7192ae00-d4fd-49ae-a62e-bdd9baa466d2">2018-05-10T23:00:00+00:00</ecoregDataReviewerTriggerDate>
    <ecoregDataProvider xmlns="7192ae00-d4fd-49ae-a62e-bdd9baa466d2">
      <UserInfo>
        <DisplayName>Joanne Ward</DisplayName>
        <AccountId>545</AccountId>
        <AccountType/>
      </UserInfo>
    </ecoregDataProvider>
    <ecoregAuditor xmlns="7192ae00-d4fd-49ae-a62e-bdd9baa466d2">
      <UserInfo>
        <DisplayName>Ian Burnett</DisplayName>
        <AccountId>626</AccountId>
        <AccountType/>
      </UserInfo>
    </ecoregAuditor>
    <ecoregStatus xmlns="7192ae00-d4fd-49ae-a62e-bdd9baa466d2">Complete</ecoregStatus>
    <SharedWithUsers xmlns="9fe40a70-c2be-44b1-b438-8698d9f6fc58">
      <UserInfo>
        <DisplayName>Laura Masters</DisplayName>
        <AccountId>118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WG Regulatory Reports" ma:contentTypeID="0x010100D269F015FFF94123ABA214BBDDBEAC31008575088CA72BBD41ACE7BAD3A60FC90B" ma:contentTypeVersion="24" ma:contentTypeDescription="Create a new document." ma:contentTypeScope="" ma:versionID="c5bd8c9c1e383764dfa42b1b69740608">
  <xsd:schema xmlns:xsd="http://www.w3.org/2001/XMLSchema" xmlns:xs="http://www.w3.org/2001/XMLSchema" xmlns:p="http://schemas.microsoft.com/office/2006/metadata/properties" xmlns:ns2="7192ae00-d4fd-49ae-a62e-bdd9baa466d2" xmlns:ns3="e56acf47-464f-484f-b26f-0b037f25e56c" xmlns:ns4="9fe40a70-c2be-44b1-b438-8698d9f6fc58" targetNamespace="http://schemas.microsoft.com/office/2006/metadata/properties" ma:root="true" ma:fieldsID="7493c003fb69630436ce470564578d92" ns2:_="" ns3:_="" ns4:_="">
    <xsd:import namespace="7192ae00-d4fd-49ae-a62e-bdd9baa466d2"/>
    <xsd:import namespace="e56acf47-464f-484f-b26f-0b037f25e56c"/>
    <xsd:import namespace="9fe40a70-c2be-44b1-b438-8698d9f6fc58"/>
    <xsd:element name="properties">
      <xsd:complexType>
        <xsd:sequence>
          <xsd:element name="documentManagement">
            <xsd:complexType>
              <xsd:all>
                <xsd:element ref="ns2:ecoregDataProvider"/>
                <xsd:element ref="ns2:ecoregDataReviewer"/>
                <xsd:element ref="ns2:ecoregAuditor"/>
                <xsd:element ref="ns2:ecoregSeniorManager"/>
                <xsd:element ref="ns2:ecoregPreviousStatus"/>
                <xsd:element ref="ns2:ecoregStatus"/>
                <xsd:element ref="ns2:ecoregDataProviderTriggerDate" minOccurs="0"/>
                <xsd:element ref="ns2:ecoregDataReviewerTriggerDate" minOccurs="0"/>
                <xsd:element ref="ns2:ecoregSeniorManagerTriggerDate" minOccurs="0"/>
                <xsd:element ref="ns2:ecoregAuditorTriggerDate" minOccurs="0"/>
                <xsd:element ref="ns2:ecoregMethodologyUploaded" minOccurs="0"/>
                <xsd:element ref="ns2:ecoregDataProviderComments" minOccurs="0"/>
                <xsd:element ref="ns2:ecoregDataReviewerComments" minOccurs="0"/>
                <xsd:element ref="ns2:ecoregSeniorManagerComments" minOccurs="0"/>
                <xsd:element ref="ns2:ecoregAuditorComments" minOccurs="0"/>
                <xsd:element ref="ns3:MediaServiceMetadata" minOccurs="0"/>
                <xsd:element ref="ns3:MediaServiceFastMetadata" minOccurs="0"/>
                <xsd:element ref="ns3:Regulatory_x0020_Reports_x0020_Library_x0020_Workflow_x0020_1202_x002d_01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2ae00-d4fd-49ae-a62e-bdd9baa466d2" elementFormDefault="qualified">
    <xsd:import namespace="http://schemas.microsoft.com/office/2006/documentManagement/types"/>
    <xsd:import namespace="http://schemas.microsoft.com/office/infopath/2007/PartnerControls"/>
    <xsd:element name="ecoregDataProvider" ma:index="8" ma:displayName="Data Provider" ma:internalName="ecoregDataProvi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DataReviewer" ma:index="9" ma:displayName="Data Reviewer" ma:internalName="ecoregData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Auditor" ma:index="10" ma:displayName="Auditor" ma:internalName="ecoreg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SeniorManager" ma:index="11" ma:displayName="Senior Manager" ma:internalName="ecoregSenior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PreviousStatus" ma:index="12" ma:displayName="Previous Status" ma:default="Data Provider" ma:internalName="ecoregPrevious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Status" ma:index="13" ma:displayName="Status" ma:default="Data Provider" ma:internalName="ecoreg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DataProviderTriggerDate" ma:index="14" nillable="true" ma:displayName="Data Provider Trigger Date" ma:format="DateOnly" ma:internalName="ecoregDataProviderTriggerDate">
      <xsd:simpleType>
        <xsd:restriction base="dms:DateTime"/>
      </xsd:simpleType>
    </xsd:element>
    <xsd:element name="ecoregDataReviewerTriggerDate" ma:index="15" nillable="true" ma:displayName="Data Reviewer Trigger Date" ma:format="DateOnly" ma:internalName="ecoregDataReviewerTriggerDate">
      <xsd:simpleType>
        <xsd:restriction base="dms:DateTime"/>
      </xsd:simpleType>
    </xsd:element>
    <xsd:element name="ecoregSeniorManagerTriggerDate" ma:index="16" nillable="true" ma:displayName="Senior Manager Trigger Date" ma:format="DateOnly" ma:internalName="ecoregSeniorManagerTriggerDate">
      <xsd:simpleType>
        <xsd:restriction base="dms:DateTime"/>
      </xsd:simpleType>
    </xsd:element>
    <xsd:element name="ecoregAuditorTriggerDate" ma:index="17" nillable="true" ma:displayName="Auditor Trigger Date" ma:format="DateOnly" ma:internalName="ecoregAuditorTriggerDate">
      <xsd:simpleType>
        <xsd:restriction base="dms:DateTime"/>
      </xsd:simpleType>
    </xsd:element>
    <xsd:element name="ecoregMethodologyUploaded" ma:index="18" nillable="true" ma:displayName="Methodology Uploaded" ma:default="No" ma:internalName="ecoregMethodologyUploaded">
      <xsd:simpleType>
        <xsd:restriction base="dms:Choice">
          <xsd:enumeration value="No"/>
          <xsd:enumeration value="Yes"/>
        </xsd:restriction>
      </xsd:simpleType>
    </xsd:element>
    <xsd:element name="ecoregDataProviderComments" ma:index="19" nillable="true" ma:displayName="Data Provider Comments" ma:internalName="ecoregDataProviderComments">
      <xsd:simpleType>
        <xsd:restriction base="dms:Note"/>
      </xsd:simpleType>
    </xsd:element>
    <xsd:element name="ecoregDataReviewerComments" ma:index="20" nillable="true" ma:displayName="Data Reviewer Comments" ma:internalName="ecoregDataReviewerComments">
      <xsd:simpleType>
        <xsd:restriction base="dms:Note"/>
      </xsd:simpleType>
    </xsd:element>
    <xsd:element name="ecoregSeniorManagerComments" ma:index="21" nillable="true" ma:displayName="Senior Manager Comments" ma:internalName="ecoregSeniorManagerComments">
      <xsd:simpleType>
        <xsd:restriction base="dms:Note"/>
      </xsd:simpleType>
    </xsd:element>
    <xsd:element name="ecoregAuditorComments" ma:index="22" nillable="true" ma:displayName="Auditor Comments" ma:internalName="ecoregAuditor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cf47-464f-484f-b26f-0b037f25e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Regulatory_x0020_Reports_x0020_Library_x0020_Workflow_x0020_1202_x002d_01" ma:index="25" nillable="true" ma:displayName="Regulatory Reports Library Workflow 0203-01" ma:internalName="Regulatory_x0020_Reports_x0020_Library_x0020_Workflow_x0020_1202_x002d_0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0a70-c2be-44b1-b438-8698d9f6fc58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82369-497D-47D8-9312-ADC65EA9487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fe40a70-c2be-44b1-b438-8698d9f6fc58"/>
    <ds:schemaRef ds:uri="7192ae00-d4fd-49ae-a62e-bdd9baa466d2"/>
    <ds:schemaRef ds:uri="http://purl.org/dc/elements/1.1/"/>
    <ds:schemaRef ds:uri="e56acf47-464f-484f-b26f-0b037f25e5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A3EA6-99A4-43E6-95FD-2245F2314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CEAE7-8670-4EFF-8878-F40D7F1CC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2ae00-d4fd-49ae-a62e-bdd9baa466d2"/>
    <ds:schemaRef ds:uri="e56acf47-464f-484f-b26f-0b037f25e56c"/>
    <ds:schemaRef ds:uri="9fe40a70-c2be-44b1-b438-8698d9f6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41</vt:i4>
      </vt:variant>
    </vt:vector>
  </HeadingPairs>
  <TitlesOfParts>
    <vt:vector size="52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RPI!Print_Area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Manager/>
  <Company>PricewaterhouseCoopers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Crane</dc:creator>
  <cp:keywords/>
  <dc:description/>
  <cp:lastModifiedBy>James Trevett</cp:lastModifiedBy>
  <cp:revision/>
  <cp:lastPrinted>2018-05-25T08:05:36Z</cp:lastPrinted>
  <dcterms:created xsi:type="dcterms:W3CDTF">2015-02-03T17:19:53Z</dcterms:created>
  <dcterms:modified xsi:type="dcterms:W3CDTF">2018-08-30T14:30:08Z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0x010100D269F015FFF94123ABA214BBDDBEAC31008575088CA72BBD41ACE7BAD3A60FC90B</vt:lpwstr>
  </property>
  <property fmtid="{D5CDD505-2E9C-101B-9397-08002B2CF9AE}" pid="3" name="da4e9ae56afa494a84f353054bd212ec">
    <vt:lpwstr>OFFICIAL|c2540f30-f875-494b-a43f-ebfb5017a6ad</vt:lpwstr>
  </property>
  <property fmtid="{D5CDD505-2E9C-101B-9397-08002B2CF9AE}" pid="4" name="TaxCatchAll">
    <vt:lpwstr>21;#OFFICIAL|c2540f30-f875-494b-a43f-ebfb5017a6ad</vt:lpwstr>
  </property>
  <property fmtid="{D5CDD505-2E9C-101B-9397-08002B2CF9AE}" pid="5" name="Security Classification">
    <vt:lpwstr>21;#OFFICIAL|c2540f30-f875-494b-a43f-ebfb5017a6ad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Meeting">
    <vt:lpwstr/>
  </property>
  <property fmtid="{D5CDD505-2E9C-101B-9397-08002B2CF9AE}" pid="10" name="Stakeholder 4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Stakeholder 2">
    <vt:lpwstr/>
  </property>
  <property fmtid="{D5CDD505-2E9C-101B-9397-08002B2CF9AE}" pid="14" name="Stakeholder">
    <vt:lpwstr/>
  </property>
  <property fmtid="{D5CDD505-2E9C-101B-9397-08002B2CF9AE}" pid="15" name="SharedWithUsers">
    <vt:lpwstr>118;#Laura Masters</vt:lpwstr>
  </property>
</Properties>
</file>