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 activeTab="4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Dist_Values">#REF!</definedName>
    <definedName name="_Fill">#REF!</definedName>
    <definedName name="_Key1">#REF!</definedName>
    <definedName name="_Key2">#REF!</definedName>
    <definedName name="_Order1">255</definedName>
    <definedName name="_Order2">255</definedName>
    <definedName name="_Sort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 calcOnSave="0"/>
</workbook>
</file>

<file path=xl/calcChain.xml><?xml version="1.0" encoding="utf-8"?>
<calcChain xmlns="http://schemas.openxmlformats.org/spreadsheetml/2006/main">
  <c r="K78" i="4" l="1"/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5" i="4" l="1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31" i="5" l="1"/>
  <c r="N32" i="5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P21" i="8" l="1"/>
  <c r="F9" i="1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G5" i="15" s="1"/>
  <c r="P113" i="5"/>
  <c r="P197" i="5" s="1"/>
  <c r="P11" i="8" s="1"/>
  <c r="T51" i="7"/>
  <c r="U51" i="7"/>
  <c r="P14" i="8" l="1"/>
  <c r="G6" i="15" s="1"/>
  <c r="G4" i="15"/>
</calcChain>
</file>

<file path=xl/sharedStrings.xml><?xml version="1.0" encoding="utf-8"?>
<sst xmlns="http://schemas.openxmlformats.org/spreadsheetml/2006/main" count="992" uniqueCount="472">
  <si>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</si>
  <si>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</si>
  <si>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</si>
  <si>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</si>
  <si>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</si>
  <si>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</si>
  <si>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</si>
  <si>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</si>
  <si>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</si>
  <si>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</si>
  <si>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</si>
  <si>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</si>
  <si>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</si>
  <si>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</si>
  <si>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</si>
  <si>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</si>
  <si>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</si>
  <si>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</si>
  <si>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</si>
  <si>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</si>
  <si>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</si>
  <si>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</si>
  <si>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</si>
  <si>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</si>
  <si>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</si>
  <si>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</si>
  <si>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</si>
  <si>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</si>
  <si>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</si>
  <si>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</si>
  <si>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</si>
  <si>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</si>
  <si>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</si>
  <si>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</si>
  <si>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</si>
  <si>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</si>
  <si>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</si>
  <si>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</si>
  <si>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</si>
  <si>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</si>
  <si>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</si>
  <si>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</si>
  <si>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</si>
  <si>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</si>
  <si>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</si>
  <si>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</si>
  <si>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</si>
  <si>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</si>
  <si>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</si>
  <si>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</si>
  <si>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</si>
  <si>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</si>
  <si>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</si>
  <si>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</si>
  <si>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</si>
  <si>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</si>
  <si>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</si>
  <si>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</si>
  <si>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</si>
  <si>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</si>
  <si>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</si>
  <si>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</si>
  <si>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</si>
  <si>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</si>
  <si>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</si>
  <si>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</si>
  <si>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</si>
  <si>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</si>
  <si>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</si>
  <si>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</si>
  <si>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</si>
  <si>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</si>
  <si>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</si>
  <si>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</si>
  <si>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</si>
  <si>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</si>
  <si>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</si>
  <si>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</si>
  <si>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</si>
  <si>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</si>
  <si>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</si>
  <si>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</si>
  <si>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</si>
  <si>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</si>
  <si>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</si>
  <si>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</si>
  <si>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</si>
  <si>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</si>
  <si>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</si>
  <si>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</si>
  <si>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</si>
  <si>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</si>
  <si>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</si>
  <si>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</si>
  <si>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</si>
  <si>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</si>
  <si>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</si>
  <si>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</si>
  <si>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</si>
  <si>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</si>
  <si>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</si>
  <si>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</si>
  <si>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</si>
  <si>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</si>
  <si>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</si>
  <si>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</si>
  <si>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</si>
  <si>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</si>
  <si>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</si>
  <si>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</si>
  <si>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</si>
  <si>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</si>
  <si>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</si>
  <si>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</si>
  <si>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</si>
  <si>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</si>
  <si>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</si>
  <si>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</si>
  <si>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</si>
  <si>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</si>
  <si>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</si>
  <si>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</si>
  <si>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</si>
  <si>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</si>
  <si>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</si>
  <si>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</si>
  <si>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</si>
  <si>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</si>
  <si>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</si>
  <si>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</si>
  <si>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</si>
  <si>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</si>
  <si>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</si>
  <si>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</si>
  <si>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</si>
  <si>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</si>
  <si>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</si>
  <si>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</si>
  <si>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</si>
  <si>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</si>
  <si>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</si>
  <si>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</si>
  <si>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</si>
  <si>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</si>
  <si>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</si>
  <si>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</si>
  <si>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</si>
  <si>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</si>
  <si>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</si>
  <si>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</si>
  <si>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</si>
  <si>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</si>
  <si>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</si>
  <si>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</si>
  <si>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</si>
  <si>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</si>
  <si>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</si>
  <si>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</si>
  <si>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</si>
  <si>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</si>
  <si>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</si>
  <si>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</si>
  <si>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</si>
  <si>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</si>
  <si>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</si>
  <si>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</si>
  <si>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</si>
  <si>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</si>
  <si>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</si>
  <si>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</si>
  <si>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</si>
  <si>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</si>
  <si>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</si>
  <si>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</si>
  <si>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</si>
  <si>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</si>
  <si>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</si>
  <si>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</si>
  <si>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</si>
  <si>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</si>
  <si>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</si>
  <si>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</si>
  <si>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</si>
  <si>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</si>
  <si>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</si>
  <si>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</si>
  <si>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</si>
  <si>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</si>
  <si>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</si>
  <si>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</si>
  <si>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</si>
  <si>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</si>
  <si>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</si>
  <si>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</si>
  <si>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</si>
  <si>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</si>
  <si>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</si>
  <si>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</si>
  <si>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</si>
  <si>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</si>
  <si>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</si>
  <si>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</si>
  <si>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</si>
  <si>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</si>
  <si>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</si>
  <si>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</si>
  <si>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</si>
  <si>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</si>
  <si>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</si>
  <si>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</si>
  <si>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</si>
  <si>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</si>
  <si>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</si>
  <si>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</si>
  <si>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</si>
  <si>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</si>
  <si>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</si>
  <si>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</si>
  <si>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</si>
  <si>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</si>
  <si>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</si>
  <si>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</si>
  <si>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</si>
  <si>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</si>
  <si>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</si>
  <si>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</si>
  <si>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</si>
  <si>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</si>
  <si>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</si>
  <si>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</si>
  <si>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</si>
  <si>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</si>
  <si>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</si>
  <si>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</si>
  <si>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</si>
  <si>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</si>
  <si>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</si>
  <si>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</si>
  <si>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</si>
  <si>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</si>
  <si>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</si>
  <si>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</si>
  <si>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</si>
  <si>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</si>
  <si>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</si>
  <si>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</si>
  <si>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</si>
  <si>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</si>
  <si>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</si>
  <si>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</si>
  <si>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</si>
  <si>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</si>
  <si>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</si>
  <si>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</si>
  <si>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</si>
  <si>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</si>
  <si>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</si>
  <si>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</si>
  <si>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</si>
  <si>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</si>
  <si>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</si>
  <si>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</si>
  <si>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</si>
  <si>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</si>
  <si>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</si>
  <si>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</si>
  <si>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</si>
  <si>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</si>
  <si>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</si>
  <si>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</si>
  <si>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</si>
  <si>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</si>
  <si>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</si>
  <si>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</si>
  <si>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</si>
  <si>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</si>
  <si>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</si>
  <si>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</si>
  <si>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</si>
  <si>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</si>
  <si>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</si>
  <si>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</si>
  <si>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</si>
  <si>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</si>
  <si>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</si>
  <si>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</si>
  <si>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</si>
  <si>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</si>
  <si>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</si>
  <si>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</si>
  <si>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</si>
  <si>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</si>
  <si>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</si>
  <si>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</si>
  <si>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</si>
  <si>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</si>
  <si>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</si>
  <si>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</si>
  <si>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</si>
  <si>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</si>
  <si>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</si>
  <si>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</si>
  <si>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</si>
  <si>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</si>
  <si>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</si>
  <si>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</si>
  <si>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</si>
  <si>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</si>
  <si>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</si>
  <si>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</si>
  <si>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</si>
  <si>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</si>
  <si>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</si>
  <si>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</si>
  <si>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</si>
  <si>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</si>
  <si>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</si>
  <si>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</si>
  <si>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</si>
  <si>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</si>
  <si>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</si>
  <si>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</si>
  <si>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</si>
  <si>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</si>
  <si>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</si>
  <si>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</si>
  <si>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</si>
  <si>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</si>
  <si>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</si>
  <si>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</si>
  <si>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</si>
  <si>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</si>
  <si>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</si>
  <si>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</si>
  <si>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</si>
  <si>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</si>
  <si>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</si>
  <si>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</si>
  <si>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</si>
  <si>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</si>
  <si>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</si>
  <si>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</si>
  <si>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</si>
  <si>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</si>
  <si>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</si>
  <si>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</si>
  <si>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</si>
  <si>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</si>
  <si>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</si>
  <si>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</si>
  <si>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</si>
  <si>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</si>
  <si>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</si>
  <si>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</si>
  <si>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</si>
  <si>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</si>
  <si>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</si>
  <si>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</si>
  <si>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</si>
  <si>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</si>
  <si>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</si>
  <si>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</si>
  <si>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</si>
  <si>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</si>
  <si>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</si>
  <si>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</si>
  <si>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</si>
  <si>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</si>
  <si>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</si>
  <si>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</si>
  <si>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</si>
  <si>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</si>
  <si>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</si>
  <si>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</si>
  <si>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</si>
  <si>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</si>
  <si>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</si>
  <si>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</si>
  <si>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</si>
  <si>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</si>
  <si>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</si>
  <si>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</si>
  <si>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</si>
  <si>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</si>
  <si>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</si>
  <si>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</si>
  <si>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</si>
  <si>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</si>
  <si>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</si>
  <si>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</si>
  <si>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</si>
  <si>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</si>
  <si>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</si>
  <si>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</si>
  <si>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</si>
  <si>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</si>
  <si>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</si>
  <si>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</si>
  <si>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</si>
  <si>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</si>
  <si>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</si>
  <si>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</si>
  <si>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</si>
  <si>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</si>
  <si>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</si>
  <si>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</si>
  <si>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</si>
  <si>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</si>
  <si>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</si>
  <si>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</si>
  <si>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</si>
  <si>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</si>
  <si>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</si>
  <si>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</si>
  <si>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</si>
  <si>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</si>
  <si>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</si>
  <si>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</si>
  <si>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</si>
  <si>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</si>
  <si>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</si>
  <si>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</si>
  <si>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</si>
  <si>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</si>
  <si>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</si>
  <si>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</si>
  <si>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</si>
  <si>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</si>
  <si>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</si>
  <si>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</si>
  <si>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</si>
  <si>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</si>
  <si>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</si>
  <si>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</si>
  <si>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</si>
  <si>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</si>
  <si>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</si>
  <si>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</si>
  <si>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</si>
  <si>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</si>
  <si>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</si>
  <si>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</si>
  <si>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</si>
  <si>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</si>
  <si>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</si>
  <si>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</si>
  <si>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</si>
  <si>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</si>
  <si>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</si>
  <si>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</si>
  <si>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</si>
  <si>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</si>
  <si>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</si>
  <si>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</si>
  <si>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</si>
  <si>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</si>
  <si>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</si>
  <si>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</si>
  <si>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</si>
  <si>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</si>
  <si>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</si>
  <si>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</si>
  <si>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</si>
  <si>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</si>
  <si>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</si>
  <si>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</si>
  <si>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</si>
  <si>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</si>
  <si>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</si>
  <si>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NES</t>
  </si>
  <si>
    <t>Agreed to BP</t>
  </si>
  <si>
    <t>Agreed to BP - roundings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</si>
</sst>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8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FE4819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35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  <xf numFmtId="0" fontId="78" fillId="48" borderId="0"/>
    <xf numFmtId="0" fontId="9" fillId="49" borderId="30">
      <alignment vertical="center"/>
    </xf>
    <xf numFmtId="0" fontId="78" fillId="50" borderId="0" applyBorder="0"/>
  </cellStyleXfs>
  <cellXfs count="268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  <xf numFmtId="181" fontId="79" fillId="11" borderId="0" xfId="0" applyNumberFormat="1" applyFont="1" applyFill="1"/>
    <xf numFmtId="181" fontId="0" fillId="11" borderId="0" xfId="0" applyNumberFormat="1" applyFill="1"/>
  </cellXfs>
  <cellStyles count="135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Copy cell" xfId="132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Input cell" xfId="133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3 9" xfId="131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Validation error" xfId="134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5"/>
  <sheetViews>
    <sheetView workbookViewId="0">
      <pane ySplit="2" topLeftCell="A3" activePane="bottomLeft" state="frozen"/>
      <selection pane="bottomLeft" activeCell="M31" sqref="M31"/>
    </sheetView>
  </sheetViews>
  <sheetFormatPr defaultRowHeight="15"/>
  <cols>
    <col min="1" max="1" width="3.85546875" customWidth="1"/>
    <col min="2" max="2" width="5.5703125" customWidth="1"/>
    <col min="3" max="3" width="12" customWidth="1"/>
    <col min="4" max="4" width="2.5703125" customWidth="1"/>
    <col min="5" max="5" width="15.28515625" customWidth="1"/>
    <col min="6" max="16" width="7.4257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>
        <v>2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5"/>
      <c r="G5" s="225"/>
      <c r="H5" s="225"/>
      <c r="I5" s="225"/>
      <c r="J5" s="225">
        <v>3.5649999999999999</v>
      </c>
      <c r="K5" s="225">
        <v>3.5649999999999999</v>
      </c>
      <c r="L5" s="225">
        <v>3.5649999999999999</v>
      </c>
      <c r="M5" s="225">
        <v>3.5649999999999999</v>
      </c>
      <c r="N5" s="225">
        <v>3.5649999999999999</v>
      </c>
      <c r="O5" s="225"/>
      <c r="P5" s="225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5"/>
      <c r="G6" s="225"/>
      <c r="H6" s="225"/>
      <c r="I6" s="225"/>
      <c r="J6" s="225">
        <v>2.2732000000000001</v>
      </c>
      <c r="K6" s="225">
        <v>2.2732000000000001</v>
      </c>
      <c r="L6" s="225">
        <v>2.2732000000000001</v>
      </c>
      <c r="M6" s="225">
        <v>2.2732000000000001</v>
      </c>
      <c r="N6" s="225">
        <v>2.2732000000000001</v>
      </c>
      <c r="O6" s="225"/>
      <c r="P6" s="225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>
        <v>98.301404844022599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>
        <v>98.360650374040901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>
        <v>94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>
        <v>94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5"/>
      <c r="G12" s="225"/>
      <c r="H12" s="225"/>
      <c r="I12" s="225"/>
      <c r="J12" s="225">
        <v>263.40205409454398</v>
      </c>
      <c r="K12" s="225">
        <v>277.60821974186098</v>
      </c>
      <c r="L12" s="225">
        <v>286.89678039328601</v>
      </c>
      <c r="M12" s="225">
        <v>258.20677328552398</v>
      </c>
      <c r="N12" s="225">
        <v>243.82994102466199</v>
      </c>
      <c r="O12" s="225"/>
      <c r="P12" s="225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5"/>
      <c r="G13" s="225"/>
      <c r="H13" s="225"/>
      <c r="I13" s="225"/>
      <c r="J13" s="225">
        <v>207.667566332116</v>
      </c>
      <c r="K13" s="225">
        <v>209.46712039244301</v>
      </c>
      <c r="L13" s="225">
        <v>215.24984337869199</v>
      </c>
      <c r="M13" s="225">
        <v>203.91319338745399</v>
      </c>
      <c r="N13" s="225">
        <v>174.641285572187</v>
      </c>
      <c r="O13" s="225"/>
      <c r="P13" s="225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5"/>
      <c r="G14" s="225"/>
      <c r="H14" s="225"/>
      <c r="I14" s="225"/>
      <c r="J14" s="225">
        <v>258.82257524654</v>
      </c>
      <c r="K14" s="225">
        <v>273.25799623828601</v>
      </c>
      <c r="L14" s="225">
        <v>282.58125925319598</v>
      </c>
      <c r="M14" s="225">
        <v>253.75122622329499</v>
      </c>
      <c r="N14" s="225">
        <v>239.312100638494</v>
      </c>
      <c r="O14" s="225"/>
      <c r="P14" s="225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5"/>
      <c r="G15" s="225"/>
      <c r="H15" s="225"/>
      <c r="I15" s="225"/>
      <c r="J15" s="225">
        <v>205.32406113918799</v>
      </c>
      <c r="K15" s="225">
        <v>207.27862573636901</v>
      </c>
      <c r="L15" s="225">
        <v>213.115269471929</v>
      </c>
      <c r="M15" s="225">
        <v>201.76208990399601</v>
      </c>
      <c r="N15" s="225">
        <v>172.39984462418701</v>
      </c>
      <c r="O15" s="225"/>
      <c r="P15" s="225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5"/>
      <c r="G16" s="225"/>
      <c r="H16" s="225"/>
      <c r="I16" s="225"/>
      <c r="J16" s="225">
        <v>282.322</v>
      </c>
      <c r="K16" s="225">
        <v>277.32</v>
      </c>
      <c r="L16" s="225">
        <v>344.34100000000007</v>
      </c>
      <c r="M16" s="267">
        <v>375.3973400000001</v>
      </c>
      <c r="N16" s="267">
        <v>348.22099999999995</v>
      </c>
      <c r="O16" s="225"/>
      <c r="P16" s="225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5"/>
      <c r="G17" s="225"/>
      <c r="H17" s="225"/>
      <c r="I17" s="225"/>
      <c r="J17" s="225">
        <v>174.756</v>
      </c>
      <c r="K17" s="225">
        <v>168.74199999999999</v>
      </c>
      <c r="L17" s="225">
        <v>174.43199999999999</v>
      </c>
      <c r="M17" s="267">
        <v>176.58300000000003</v>
      </c>
      <c r="N17" s="267">
        <v>184.31799999999998</v>
      </c>
      <c r="O17" s="225"/>
      <c r="P17" s="225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5"/>
      <c r="G18" s="225"/>
      <c r="H18" s="225"/>
      <c r="I18" s="225"/>
      <c r="J18" s="225">
        <v>13.8189999999999</v>
      </c>
      <c r="K18" s="225">
        <v>7.0940000000000003</v>
      </c>
      <c r="L18" s="225">
        <v>8.1319999999999997</v>
      </c>
      <c r="M18" s="267">
        <v>8.3019999999999996</v>
      </c>
      <c r="N18" s="267">
        <v>8.4649999999999999</v>
      </c>
      <c r="O18" s="225"/>
      <c r="P18" s="225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5"/>
      <c r="G19" s="225"/>
      <c r="H19" s="225"/>
      <c r="I19" s="225"/>
      <c r="J19" s="225">
        <v>0</v>
      </c>
      <c r="K19" s="225">
        <v>0</v>
      </c>
      <c r="L19" s="225">
        <v>0</v>
      </c>
      <c r="M19" s="225">
        <v>0</v>
      </c>
      <c r="N19" s="225">
        <v>0</v>
      </c>
      <c r="O19" s="225"/>
      <c r="P19" s="225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5"/>
      <c r="G20" s="225"/>
      <c r="H20" s="225"/>
      <c r="I20" s="225"/>
      <c r="J20" s="225">
        <v>5.5819999999999999</v>
      </c>
      <c r="K20" s="225">
        <v>5.7969999999999997</v>
      </c>
      <c r="L20" s="225">
        <v>6.2130000000000001</v>
      </c>
      <c r="M20" s="267">
        <v>6.4459999999999997</v>
      </c>
      <c r="N20" s="267">
        <v>6.6519999999999992</v>
      </c>
      <c r="O20" s="225"/>
      <c r="P20" s="225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5"/>
      <c r="G21" s="225"/>
      <c r="H21" s="225"/>
      <c r="I21" s="225"/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/>
      <c r="P21" s="225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5"/>
      <c r="G22" s="225"/>
      <c r="H22" s="225"/>
      <c r="I22" s="225"/>
      <c r="J22" s="225">
        <v>3.7069999999999999</v>
      </c>
      <c r="K22" s="225">
        <v>0.69899999999999995</v>
      </c>
      <c r="L22" s="225">
        <v>0.30199999999999999</v>
      </c>
      <c r="M22" s="267">
        <v>0.308</v>
      </c>
      <c r="N22" s="267">
        <v>0.314</v>
      </c>
      <c r="O22" s="225"/>
      <c r="P22" s="225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5"/>
      <c r="G23" s="225"/>
      <c r="H23" s="225"/>
      <c r="I23" s="225"/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/>
      <c r="P23" s="225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5"/>
      <c r="G24" s="225"/>
      <c r="H24" s="225"/>
      <c r="I24" s="225"/>
      <c r="J24" s="225">
        <v>2.8149999999999999</v>
      </c>
      <c r="K24" s="225">
        <v>2.8090000000000002</v>
      </c>
      <c r="L24" s="225">
        <v>2.7130000000000001</v>
      </c>
      <c r="M24" s="267">
        <v>2.8119999999999998</v>
      </c>
      <c r="N24" s="267">
        <v>2.9030000000000005</v>
      </c>
      <c r="O24" s="225"/>
      <c r="P24" s="225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5"/>
      <c r="G25" s="225"/>
      <c r="H25" s="225"/>
      <c r="I25" s="225"/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/>
      <c r="P25" s="225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5"/>
      <c r="G26" s="225"/>
      <c r="H26" s="225"/>
      <c r="I26" s="225">
        <v>0</v>
      </c>
      <c r="J26" s="225"/>
      <c r="K26" s="225"/>
      <c r="L26" s="225"/>
      <c r="M26" s="225"/>
      <c r="N26" s="225"/>
      <c r="O26" s="225"/>
      <c r="P26" s="225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5"/>
      <c r="G27" s="225"/>
      <c r="H27" s="225"/>
      <c r="I27" s="266">
        <v>3.73</v>
      </c>
      <c r="J27" s="225"/>
      <c r="K27" s="225"/>
      <c r="L27" s="225"/>
      <c r="M27" s="225"/>
      <c r="N27" s="225"/>
      <c r="O27" s="225"/>
      <c r="P27" s="225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6"/>
      <c r="G28" s="226"/>
      <c r="H28" s="226"/>
      <c r="I28" s="226"/>
      <c r="J28" s="226">
        <v>0.61531000000000002</v>
      </c>
      <c r="K28" s="226">
        <v>0.67623</v>
      </c>
      <c r="L28" s="226">
        <v>0.66764999999999997</v>
      </c>
      <c r="M28" s="226">
        <v>0.74139999999999995</v>
      </c>
      <c r="N28" s="226">
        <v>0.78740999999999906</v>
      </c>
      <c r="O28" s="226"/>
      <c r="P28" s="226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6"/>
      <c r="G29" s="226"/>
      <c r="H29" s="226"/>
      <c r="I29" s="226"/>
      <c r="J29" s="226">
        <v>0.48623</v>
      </c>
      <c r="K29" s="226">
        <v>0.52254</v>
      </c>
      <c r="L29" s="226">
        <v>0.50516000000000005</v>
      </c>
      <c r="M29" s="226">
        <v>0.52473000000000003</v>
      </c>
      <c r="N29" s="226">
        <v>0.60924999999999996</v>
      </c>
      <c r="O29" s="226"/>
      <c r="P29" s="226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5"/>
      <c r="G30" s="225"/>
      <c r="H30" s="225"/>
      <c r="I30" s="225"/>
      <c r="J30" s="225">
        <v>0.223</v>
      </c>
      <c r="K30" s="225">
        <v>0.36699999999999999</v>
      </c>
      <c r="L30" s="225">
        <v>0.28799999999999998</v>
      </c>
      <c r="M30" s="267">
        <v>0.32600000000000001</v>
      </c>
      <c r="N30" s="267">
        <v>0.32600000000000001</v>
      </c>
      <c r="O30" s="225"/>
      <c r="P30" s="225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5"/>
      <c r="G31" s="225"/>
      <c r="H31" s="225"/>
      <c r="I31" s="225"/>
      <c r="J31" s="225">
        <v>0</v>
      </c>
      <c r="K31" s="225">
        <v>0.29799999999999999</v>
      </c>
      <c r="L31" s="225">
        <v>2.8940000000000001</v>
      </c>
      <c r="M31" s="267">
        <v>0.02</v>
      </c>
      <c r="N31" s="267">
        <v>0.02</v>
      </c>
      <c r="O31" s="225"/>
      <c r="P31" s="225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5"/>
      <c r="G32" s="225"/>
      <c r="H32" s="225"/>
      <c r="I32" s="225"/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/>
      <c r="P32" s="225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5"/>
      <c r="G33" s="225"/>
      <c r="H33" s="225"/>
      <c r="I33" s="225"/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/>
      <c r="P33" s="225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8">
        <v>234.4</v>
      </c>
      <c r="G34" s="228">
        <v>242.5</v>
      </c>
      <c r="H34" s="228">
        <v>249.5</v>
      </c>
      <c r="I34" s="228">
        <v>255.7</v>
      </c>
      <c r="J34" s="228">
        <v>258</v>
      </c>
      <c r="K34" s="228">
        <v>261.39999999999998</v>
      </c>
      <c r="L34" s="228">
        <v>270.60000000000002</v>
      </c>
      <c r="M34" s="228">
        <v>279.7</v>
      </c>
      <c r="N34" s="228">
        <v>288.10000000000002</v>
      </c>
      <c r="O34" s="228">
        <v>296.7</v>
      </c>
      <c r="P34" s="228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8">
        <v>235.2</v>
      </c>
      <c r="G35" s="228">
        <v>242.4</v>
      </c>
      <c r="H35" s="228">
        <v>250</v>
      </c>
      <c r="I35" s="228">
        <v>255.9</v>
      </c>
      <c r="J35" s="228">
        <v>258.5</v>
      </c>
      <c r="K35" s="228">
        <v>262.10000000000002</v>
      </c>
      <c r="L35" s="228">
        <v>271.7</v>
      </c>
      <c r="M35" s="228">
        <v>280.7</v>
      </c>
      <c r="N35" s="228">
        <v>289.10000000000002</v>
      </c>
      <c r="O35" s="228">
        <v>297.8</v>
      </c>
      <c r="P35" s="228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8">
        <v>235.2</v>
      </c>
      <c r="G36" s="228">
        <v>241.8</v>
      </c>
      <c r="H36" s="228">
        <v>249.7</v>
      </c>
      <c r="I36" s="228">
        <v>256.3</v>
      </c>
      <c r="J36" s="228">
        <v>258.89999999999998</v>
      </c>
      <c r="K36" s="228">
        <v>263.10000000000002</v>
      </c>
      <c r="L36" s="228">
        <v>272.3</v>
      </c>
      <c r="M36" s="228">
        <v>281.5</v>
      </c>
      <c r="N36" s="228">
        <v>289.89999999999998</v>
      </c>
      <c r="O36" s="228">
        <v>298.60000000000002</v>
      </c>
      <c r="P36" s="228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8">
        <v>234.7</v>
      </c>
      <c r="G37" s="228">
        <v>242.1</v>
      </c>
      <c r="H37" s="228">
        <v>249.7</v>
      </c>
      <c r="I37" s="228">
        <v>256</v>
      </c>
      <c r="J37" s="228">
        <v>258.60000000000002</v>
      </c>
      <c r="K37" s="228">
        <v>263.39999999999998</v>
      </c>
      <c r="L37" s="228">
        <v>272.89999999999998</v>
      </c>
      <c r="M37" s="228">
        <v>281.10000000000002</v>
      </c>
      <c r="N37" s="228">
        <v>289.5</v>
      </c>
      <c r="O37" s="228">
        <v>298.2</v>
      </c>
      <c r="P37" s="228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8">
        <v>236.1</v>
      </c>
      <c r="G38" s="228">
        <v>243</v>
      </c>
      <c r="H38" s="228">
        <v>251</v>
      </c>
      <c r="I38" s="228">
        <v>257</v>
      </c>
      <c r="J38" s="228">
        <v>259.8</v>
      </c>
      <c r="K38" s="228">
        <v>264.39999999999998</v>
      </c>
      <c r="L38" s="228">
        <v>274.7</v>
      </c>
      <c r="M38" s="228">
        <v>282.89999999999998</v>
      </c>
      <c r="N38" s="228">
        <v>291.39999999999998</v>
      </c>
      <c r="O38" s="228">
        <v>300.10000000000002</v>
      </c>
      <c r="P38" s="228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8">
        <v>237.9</v>
      </c>
      <c r="G39" s="228">
        <v>244.2</v>
      </c>
      <c r="H39" s="228">
        <v>251.9</v>
      </c>
      <c r="I39" s="228">
        <v>257.60000000000002</v>
      </c>
      <c r="J39" s="228">
        <v>259.60000000000002</v>
      </c>
      <c r="K39" s="228">
        <v>264.89999999999998</v>
      </c>
      <c r="L39" s="228">
        <v>275.10000000000002</v>
      </c>
      <c r="M39" s="228">
        <v>283.39999999999998</v>
      </c>
      <c r="N39" s="228">
        <v>291.89999999999998</v>
      </c>
      <c r="O39" s="228">
        <v>300.7</v>
      </c>
      <c r="P39" s="228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8">
        <v>238</v>
      </c>
      <c r="G40" s="228">
        <v>245.6</v>
      </c>
      <c r="H40" s="228">
        <v>251.9</v>
      </c>
      <c r="I40" s="228">
        <v>257.7</v>
      </c>
      <c r="J40" s="228">
        <v>259.5</v>
      </c>
      <c r="K40" s="228">
        <v>264.8</v>
      </c>
      <c r="L40" s="228">
        <v>275.3</v>
      </c>
      <c r="M40" s="228">
        <v>283.60000000000002</v>
      </c>
      <c r="N40" s="228">
        <v>292.10000000000002</v>
      </c>
      <c r="O40" s="228">
        <v>300.89999999999998</v>
      </c>
      <c r="P40" s="228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8">
        <v>238.5</v>
      </c>
      <c r="G41" s="228">
        <v>245.6</v>
      </c>
      <c r="H41" s="228">
        <v>252.1</v>
      </c>
      <c r="I41" s="228">
        <v>257.10000000000002</v>
      </c>
      <c r="J41" s="228">
        <v>259.8</v>
      </c>
      <c r="K41" s="228">
        <v>265.5</v>
      </c>
      <c r="L41" s="228">
        <v>275.8</v>
      </c>
      <c r="M41" s="228">
        <v>284.10000000000002</v>
      </c>
      <c r="N41" s="228">
        <v>292.60000000000002</v>
      </c>
      <c r="O41" s="228">
        <v>301.39999999999998</v>
      </c>
      <c r="P41" s="228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8">
        <v>239.4</v>
      </c>
      <c r="G42" s="228">
        <v>246.8</v>
      </c>
      <c r="H42" s="228">
        <v>253.4</v>
      </c>
      <c r="I42" s="228">
        <v>257.5</v>
      </c>
      <c r="J42" s="228">
        <v>260.60000000000002</v>
      </c>
      <c r="K42" s="228">
        <v>267.10000000000002</v>
      </c>
      <c r="L42" s="228">
        <v>278.10000000000002</v>
      </c>
      <c r="M42" s="228">
        <v>286.39999999999998</v>
      </c>
      <c r="N42" s="228">
        <v>295</v>
      </c>
      <c r="O42" s="228">
        <v>303.89999999999998</v>
      </c>
      <c r="P42" s="228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8">
        <v>238</v>
      </c>
      <c r="G43" s="228">
        <v>245.8</v>
      </c>
      <c r="H43" s="228">
        <v>252.6</v>
      </c>
      <c r="I43" s="228">
        <v>255.4</v>
      </c>
      <c r="J43" s="228">
        <v>258.8</v>
      </c>
      <c r="K43" s="228">
        <v>265.5</v>
      </c>
      <c r="L43" s="228">
        <v>276</v>
      </c>
      <c r="M43" s="228">
        <v>284.3</v>
      </c>
      <c r="N43" s="228">
        <v>292.8</v>
      </c>
      <c r="O43" s="228">
        <v>301.60000000000002</v>
      </c>
      <c r="P43" s="228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8">
        <v>239.9</v>
      </c>
      <c r="G44" s="228">
        <v>247.6</v>
      </c>
      <c r="H44" s="228">
        <v>254.2</v>
      </c>
      <c r="I44" s="228">
        <v>256.7</v>
      </c>
      <c r="J44" s="228">
        <v>260</v>
      </c>
      <c r="K44" s="228">
        <v>268.39999999999998</v>
      </c>
      <c r="L44" s="228">
        <v>278.10000000000002</v>
      </c>
      <c r="M44" s="228">
        <v>286.39999999999998</v>
      </c>
      <c r="N44" s="228">
        <v>295</v>
      </c>
      <c r="O44" s="228">
        <v>303.89999999999998</v>
      </c>
      <c r="P44" s="228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8">
        <v>240.8</v>
      </c>
      <c r="G45" s="228">
        <v>248.7</v>
      </c>
      <c r="H45" s="228">
        <v>254.8</v>
      </c>
      <c r="I45" s="228">
        <v>257.10000000000002</v>
      </c>
      <c r="J45" s="228">
        <v>261.10000000000002</v>
      </c>
      <c r="K45" s="228">
        <v>269.3</v>
      </c>
      <c r="L45" s="228">
        <v>278.3</v>
      </c>
      <c r="M45" s="228">
        <v>286.60000000000002</v>
      </c>
      <c r="N45" s="228">
        <v>295.2</v>
      </c>
      <c r="O45" s="228">
        <v>304.10000000000002</v>
      </c>
      <c r="P45" s="228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70" zoomScaleNormal="70" workbookViewId="0">
      <pane xSplit="7" ySplit="7" topLeftCell="H23" activePane="bottomRight" state="frozen"/>
      <selection pane="topRight"/>
      <selection pane="bottomLeft"/>
      <selection pane="bottomRight" activeCell="N52" sqref="N52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4" width="9.140625" style="30" customWidth="1"/>
    <col min="25" max="25" width="9.140625" style="30" hidden="1" customWidth="1"/>
    <col min="26" max="27" width="13.140625" style="30" hidden="1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5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5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3"/>
      <c r="B22" s="3"/>
      <c r="C22" s="3"/>
      <c r="D22" s="3" t="s">
        <v>21</v>
      </c>
      <c r="E22" s="3" t="s">
        <v>22</v>
      </c>
      <c r="F22" s="3"/>
      <c r="G22" s="3"/>
      <c r="H22" s="227">
        <f>F_Inputs!P7</f>
        <v>98.301404844022599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 t="s">
        <v>471</v>
      </c>
      <c r="T22" s="3"/>
      <c r="U22" s="3"/>
      <c r="V22" s="3"/>
      <c r="W22" s="3"/>
      <c r="X22" s="3"/>
    </row>
    <row r="23" spans="1:27" s="193" customFormat="1">
      <c r="A23" s="3"/>
      <c r="B23" s="3"/>
      <c r="C23" s="3"/>
      <c r="D23" s="3" t="s">
        <v>21</v>
      </c>
      <c r="E23" s="3" t="s">
        <v>24</v>
      </c>
      <c r="F23" s="3"/>
      <c r="G23" s="3"/>
      <c r="H23" s="227">
        <f>F_Inputs!P8</f>
        <v>98.360650374040901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 t="s">
        <v>471</v>
      </c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3.5649999999999999</v>
      </c>
      <c r="M26" s="35">
        <f>+F_Inputs!K5</f>
        <v>3.5649999999999999</v>
      </c>
      <c r="N26" s="35">
        <f>+F_Inputs!L5</f>
        <v>3.5649999999999999</v>
      </c>
      <c r="O26" s="35">
        <f>+F_Inputs!M5</f>
        <v>3.5649999999999999</v>
      </c>
      <c r="P26" s="35">
        <f>+F_Inputs!N5</f>
        <v>3.5649999999999999</v>
      </c>
      <c r="Q26" s="59" t="s">
        <v>29</v>
      </c>
      <c r="R26" s="3"/>
      <c r="S26" s="3" t="s">
        <v>470</v>
      </c>
      <c r="T26" s="3"/>
      <c r="U26" s="3"/>
      <c r="V26" s="3"/>
      <c r="W26" s="3"/>
      <c r="X26" s="3"/>
    </row>
    <row r="27" spans="1:27" s="193" customFormat="1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2.2732000000000001</v>
      </c>
      <c r="M27" s="35">
        <f>+F_Inputs!K6</f>
        <v>2.2732000000000001</v>
      </c>
      <c r="N27" s="35">
        <f>+F_Inputs!L6</f>
        <v>2.2732000000000001</v>
      </c>
      <c r="O27" s="35">
        <f>+F_Inputs!M6</f>
        <v>2.2732000000000001</v>
      </c>
      <c r="P27" s="35">
        <f>+F_Inputs!N6</f>
        <v>2.2732000000000001</v>
      </c>
      <c r="Q27" s="59" t="s">
        <v>31</v>
      </c>
      <c r="R27" s="3"/>
      <c r="S27" s="3" t="s">
        <v>470</v>
      </c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5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94</v>
      </c>
      <c r="I32" s="89" t="s">
        <v>35</v>
      </c>
      <c r="J32" s="30"/>
      <c r="K32" s="30"/>
      <c r="R32" s="30"/>
      <c r="S32" s="3" t="s">
        <v>470</v>
      </c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94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" t="s">
        <v>470</v>
      </c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5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5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258.82257524654</v>
      </c>
      <c r="M40" s="35">
        <f>+F_Inputs!K14</f>
        <v>273.25799623828601</v>
      </c>
      <c r="N40" s="35">
        <f>+F_Inputs!L14</f>
        <v>282.58125925319598</v>
      </c>
      <c r="O40" s="35">
        <f>+F_Inputs!M14</f>
        <v>253.75122622329499</v>
      </c>
      <c r="P40" s="35">
        <f>+F_Inputs!N14</f>
        <v>239.312100638494</v>
      </c>
      <c r="Q40" s="59" t="s">
        <v>43</v>
      </c>
      <c r="R40" s="34"/>
      <c r="S40" s="3" t="s">
        <v>470</v>
      </c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205.32406113918799</v>
      </c>
      <c r="M41" s="35">
        <f>+F_Inputs!K15</f>
        <v>207.27862573636901</v>
      </c>
      <c r="N41" s="35">
        <f>+F_Inputs!L15</f>
        <v>213.115269471929</v>
      </c>
      <c r="O41" s="35">
        <f>+F_Inputs!M15</f>
        <v>201.76208990399601</v>
      </c>
      <c r="P41" s="35">
        <f>+F_Inputs!N15</f>
        <v>172.39984462418701</v>
      </c>
      <c r="Q41" s="59" t="s">
        <v>45</v>
      </c>
      <c r="R41" s="28"/>
      <c r="S41" s="3" t="s">
        <v>470</v>
      </c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263.40205409454398</v>
      </c>
      <c r="M46" s="35">
        <f>+F_Inputs!K12</f>
        <v>277.60821974186098</v>
      </c>
      <c r="N46" s="35">
        <f>+F_Inputs!L12</f>
        <v>286.89678039328601</v>
      </c>
      <c r="O46" s="35">
        <f>+F_Inputs!M12</f>
        <v>258.20677328552398</v>
      </c>
      <c r="P46" s="35">
        <f>+F_Inputs!N12</f>
        <v>243.82994102466199</v>
      </c>
      <c r="Q46" s="59" t="s">
        <v>49</v>
      </c>
      <c r="R46" s="48"/>
      <c r="S46" s="3" t="s">
        <v>470</v>
      </c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207.667566332116</v>
      </c>
      <c r="M47" s="35">
        <f>+F_Inputs!K13</f>
        <v>209.46712039244301</v>
      </c>
      <c r="N47" s="35">
        <f>+F_Inputs!L13</f>
        <v>215.24984337869199</v>
      </c>
      <c r="O47" s="35">
        <f>+F_Inputs!M13</f>
        <v>203.91319338745399</v>
      </c>
      <c r="P47" s="35">
        <f>+F_Inputs!N13</f>
        <v>174.641285572187</v>
      </c>
      <c r="Q47" s="59" t="s">
        <v>51</v>
      </c>
      <c r="R47" s="48"/>
      <c r="S47" s="3" t="s">
        <v>470</v>
      </c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282.322</v>
      </c>
      <c r="M52" s="35">
        <f>+F_Inputs!K16</f>
        <v>277.32</v>
      </c>
      <c r="N52" s="35">
        <f>+F_Inputs!L16</f>
        <v>344.34100000000007</v>
      </c>
      <c r="O52" s="35">
        <f>+F_Inputs!M16</f>
        <v>375.3973400000001</v>
      </c>
      <c r="P52" s="35">
        <f>+F_Inputs!N16</f>
        <v>348.22099999999995</v>
      </c>
      <c r="Q52" s="59" t="s">
        <v>56</v>
      </c>
      <c r="R52" s="48"/>
      <c r="S52" s="3" t="s">
        <v>470</v>
      </c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174.756</v>
      </c>
      <c r="M53" s="35">
        <f>+F_Inputs!K17</f>
        <v>168.74199999999999</v>
      </c>
      <c r="N53" s="35">
        <f>+F_Inputs!L17</f>
        <v>174.43199999999999</v>
      </c>
      <c r="O53" s="35">
        <f>+F_Inputs!M17</f>
        <v>176.58300000000003</v>
      </c>
      <c r="P53" s="35">
        <f>+F_Inputs!N17</f>
        <v>184.31799999999998</v>
      </c>
      <c r="Q53" s="59" t="s">
        <v>58</v>
      </c>
      <c r="R53" s="48"/>
      <c r="S53" s="3" t="s">
        <v>470</v>
      </c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5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13.8189999999999</v>
      </c>
      <c r="M60" s="35">
        <f>+F_Inputs!K18</f>
        <v>7.0940000000000003</v>
      </c>
      <c r="N60" s="35">
        <f>+F_Inputs!L18</f>
        <v>8.1319999999999997</v>
      </c>
      <c r="O60" s="35">
        <f>+F_Inputs!M18</f>
        <v>8.3019999999999996</v>
      </c>
      <c r="P60" s="35">
        <f>+F_Inputs!N18</f>
        <v>8.4649999999999999</v>
      </c>
      <c r="Q60" s="30"/>
      <c r="R60" s="30"/>
      <c r="S60" s="3" t="s">
        <v>470</v>
      </c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</v>
      </c>
      <c r="O61" s="35">
        <f>+F_Inputs!M19</f>
        <v>0</v>
      </c>
      <c r="P61" s="35">
        <f>+F_Inputs!N19</f>
        <v>0</v>
      </c>
      <c r="Q61" s="36"/>
      <c r="R61" s="30"/>
      <c r="S61" s="3" t="s">
        <v>470</v>
      </c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5.5819999999999999</v>
      </c>
      <c r="M62" s="35">
        <f>+F_Inputs!K20</f>
        <v>5.7969999999999997</v>
      </c>
      <c r="N62" s="35">
        <f>+F_Inputs!L20</f>
        <v>6.2130000000000001</v>
      </c>
      <c r="O62" s="35">
        <f>+F_Inputs!M20</f>
        <v>6.4459999999999997</v>
      </c>
      <c r="P62" s="35">
        <f>+F_Inputs!N20</f>
        <v>6.6519999999999992</v>
      </c>
      <c r="Q62" s="36" t="s">
        <v>65</v>
      </c>
      <c r="R62" s="30"/>
      <c r="S62" s="3" t="s">
        <v>470</v>
      </c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" t="s">
        <v>470</v>
      </c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9">
        <f>+F_Inputs!J30</f>
        <v>0.223</v>
      </c>
      <c r="M64" s="229">
        <f>+F_Inputs!K30</f>
        <v>0.36699999999999999</v>
      </c>
      <c r="N64" s="229">
        <f>+F_Inputs!L30</f>
        <v>0.28799999999999998</v>
      </c>
      <c r="O64" s="229">
        <f>+F_Inputs!M30</f>
        <v>0.32600000000000001</v>
      </c>
      <c r="P64" s="229">
        <f>+F_Inputs!N30</f>
        <v>0.32600000000000001</v>
      </c>
      <c r="Q64" s="36" t="s">
        <v>68</v>
      </c>
      <c r="R64" s="30"/>
      <c r="S64" s="3" t="s">
        <v>470</v>
      </c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3.7069999999999999</v>
      </c>
      <c r="M66" s="35">
        <f>+F_Inputs!K22</f>
        <v>0.69899999999999995</v>
      </c>
      <c r="N66" s="35">
        <f>+F_Inputs!L22</f>
        <v>0.30199999999999999</v>
      </c>
      <c r="O66" s="35">
        <f>+F_Inputs!M22</f>
        <v>0.308</v>
      </c>
      <c r="P66" s="35">
        <f>+F_Inputs!N22</f>
        <v>0.314</v>
      </c>
      <c r="Q66" s="30"/>
      <c r="R66" s="30"/>
      <c r="S66" s="3" t="s">
        <v>470</v>
      </c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" t="s">
        <v>470</v>
      </c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2.8149999999999999</v>
      </c>
      <c r="M68" s="35">
        <f>+F_Inputs!K24</f>
        <v>2.8090000000000002</v>
      </c>
      <c r="N68" s="35">
        <f>+F_Inputs!L24</f>
        <v>2.7130000000000001</v>
      </c>
      <c r="O68" s="35">
        <f>+F_Inputs!M24</f>
        <v>2.8119999999999998</v>
      </c>
      <c r="P68" s="35">
        <f>+F_Inputs!N24</f>
        <v>2.9030000000000005</v>
      </c>
      <c r="Q68" s="36" t="s">
        <v>72</v>
      </c>
      <c r="R68" s="30"/>
      <c r="S68" s="3" t="s">
        <v>470</v>
      </c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" t="s">
        <v>470</v>
      </c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9">
        <f>+F_Inputs!J31</f>
        <v>0</v>
      </c>
      <c r="M70" s="229">
        <f>+F_Inputs!K31</f>
        <v>0.29799999999999999</v>
      </c>
      <c r="N70" s="229">
        <f>+F_Inputs!L31</f>
        <v>2.8940000000000001</v>
      </c>
      <c r="O70" s="229">
        <f>+F_Inputs!M31</f>
        <v>0.02</v>
      </c>
      <c r="P70" s="229">
        <f>+F_Inputs!N31</f>
        <v>0.02</v>
      </c>
      <c r="Q70" s="36" t="s">
        <v>75</v>
      </c>
      <c r="R70" s="30"/>
      <c r="S70" s="3" t="s">
        <v>470</v>
      </c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9">
        <f>+F_Inputs!J32</f>
        <v>0</v>
      </c>
      <c r="M71" s="229">
        <f>+F_Inputs!K32</f>
        <v>0</v>
      </c>
      <c r="N71" s="229">
        <f>+F_Inputs!L32</f>
        <v>0</v>
      </c>
      <c r="O71" s="229">
        <f>+F_Inputs!M32</f>
        <v>0</v>
      </c>
      <c r="P71" s="229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9">
        <f>+F_Inputs!J33</f>
        <v>0</v>
      </c>
      <c r="M72" s="229">
        <f>+F_Inputs!K33</f>
        <v>0</v>
      </c>
      <c r="N72" s="229">
        <f>+F_Inputs!L33</f>
        <v>0</v>
      </c>
      <c r="O72" s="229">
        <f>+F_Inputs!M33</f>
        <v>0</v>
      </c>
      <c r="P72" s="229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0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3.73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0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+F_Inputs!J28</f>
        <v>0.61531000000000002</v>
      </c>
      <c r="M125" s="179">
        <f>+F_Inputs!K28</f>
        <v>0.67623</v>
      </c>
      <c r="N125" s="179">
        <f>+F_Inputs!L28</f>
        <v>0.66764999999999997</v>
      </c>
      <c r="O125" s="179">
        <f>+F_Inputs!M28</f>
        <v>0.74139999999999995</v>
      </c>
      <c r="P125" s="179">
        <f>+F_Inputs!N28</f>
        <v>0.78740999999999906</v>
      </c>
      <c r="Q125" s="61" t="s">
        <v>143</v>
      </c>
      <c r="S125" s="3" t="s">
        <v>470</v>
      </c>
    </row>
    <row r="126" spans="1:27">
      <c r="D126" s="30" t="s">
        <v>15</v>
      </c>
      <c r="E126" s="39" t="s">
        <v>144</v>
      </c>
      <c r="F126" s="33"/>
      <c r="L126" s="179">
        <f>+F_Inputs!J29</f>
        <v>0.48623</v>
      </c>
      <c r="M126" s="179">
        <f>+F_Inputs!K29</f>
        <v>0.52254</v>
      </c>
      <c r="N126" s="179">
        <f>+F_Inputs!L29</f>
        <v>0.50516000000000005</v>
      </c>
      <c r="O126" s="179">
        <f>+F_Inputs!M29</f>
        <v>0.52473000000000003</v>
      </c>
      <c r="P126" s="179">
        <f>+F_Inputs!N29</f>
        <v>0.60924999999999996</v>
      </c>
      <c r="Q126" s="61" t="s">
        <v>145</v>
      </c>
      <c r="S126" s="3" t="s">
        <v>470</v>
      </c>
    </row>
    <row r="127" spans="1:27"/>
    <row r="128" spans="1:27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0.51200000000000001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0.98499999999999999</v>
      </c>
    </row>
    <row r="133" spans="1:24" ht="1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179" activePane="bottomRight" state="frozen"/>
      <selection pane="topRight"/>
      <selection pane="bottomLeft"/>
      <selection pane="bottomRight" activeCell="P198" sqref="P198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91" customWidth="1"/>
    <col min="6" max="6" width="20.42578125" style="91" customWidth="1"/>
    <col min="7" max="7" width="14.5703125" style="91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4" customWidth="1"/>
    <col min="25" max="25" width="13.5703125" style="3" hidden="1" customWidth="1"/>
    <col min="26" max="38" width="9.140625" style="3" hidden="1" customWidth="1"/>
    <col min="39" max="39" width="10.140625" style="3" hidden="1" customWidth="1"/>
    <col min="40" max="16384" width="9.140625" style="3" hidden="1"/>
  </cols>
  <sheetData>
    <row r="1" spans="1:29" s="2" customFormat="1" ht="33.7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0"/>
      <c r="B2" s="231"/>
      <c r="C2" s="232"/>
      <c r="D2" s="233"/>
      <c r="E2" s="234"/>
      <c r="F2" s="234"/>
      <c r="G2" s="234"/>
      <c r="H2" s="235"/>
      <c r="I2" s="236"/>
      <c r="J2" s="236"/>
      <c r="K2" s="236"/>
      <c r="L2" s="236"/>
      <c r="M2" s="236"/>
      <c r="N2" s="236"/>
      <c r="O2" s="236"/>
      <c r="P2" s="236"/>
      <c r="Q2" s="236"/>
      <c r="R2" s="237"/>
      <c r="S2" s="237"/>
      <c r="T2" s="237"/>
      <c r="U2" s="236"/>
      <c r="V2" s="236"/>
      <c r="W2" s="236"/>
      <c r="X2" s="238"/>
      <c r="Y2" s="69"/>
      <c r="Z2" s="69"/>
      <c r="AA2" s="69"/>
      <c r="AB2" s="69"/>
      <c r="AC2" s="69"/>
    </row>
    <row r="3" spans="1:29" ht="12.75" customHeight="1">
      <c r="A3" s="239"/>
      <c r="B3" s="240"/>
      <c r="C3" s="241"/>
      <c r="D3" s="242" t="s">
        <v>1</v>
      </c>
      <c r="E3" s="243" t="s">
        <v>1</v>
      </c>
      <c r="F3" s="244"/>
      <c r="G3" s="244"/>
      <c r="H3" s="237"/>
      <c r="I3" s="245" t="str">
        <f t="shared" ref="I3:U3" si="0">AMP.Years</f>
        <v>2012-13</v>
      </c>
      <c r="J3" s="245" t="str">
        <f t="shared" si="0"/>
        <v>2013-14</v>
      </c>
      <c r="K3" s="245" t="str">
        <f t="shared" si="0"/>
        <v>2014-15</v>
      </c>
      <c r="L3" s="246" t="str">
        <f t="shared" si="0"/>
        <v>2015-16</v>
      </c>
      <c r="M3" s="246" t="str">
        <f t="shared" si="0"/>
        <v>2016-17</v>
      </c>
      <c r="N3" s="246" t="str">
        <f t="shared" si="0"/>
        <v>2017-18</v>
      </c>
      <c r="O3" s="246" t="str">
        <f t="shared" si="0"/>
        <v>2018-19</v>
      </c>
      <c r="P3" s="246" t="str">
        <f t="shared" si="0"/>
        <v>2019-20</v>
      </c>
      <c r="Q3" s="245" t="str">
        <f t="shared" si="0"/>
        <v>2020-21</v>
      </c>
      <c r="R3" s="245" t="str">
        <f t="shared" si="0"/>
        <v>2021-22</v>
      </c>
      <c r="S3" s="245" t="str">
        <f t="shared" si="0"/>
        <v>2022-23</v>
      </c>
      <c r="T3" s="245" t="str">
        <f t="shared" si="0"/>
        <v>2023-24</v>
      </c>
      <c r="U3" s="245" t="str">
        <f t="shared" si="0"/>
        <v>2024-25</v>
      </c>
      <c r="V3" s="247"/>
      <c r="W3" s="247"/>
      <c r="X3" s="247"/>
      <c r="Y3" s="69"/>
      <c r="Z3" s="69"/>
      <c r="AA3" s="70"/>
      <c r="AB3" s="71"/>
      <c r="AC3" s="71"/>
    </row>
    <row r="4" spans="1:29">
      <c r="A4" s="248"/>
      <c r="B4" s="249"/>
      <c r="C4" s="250"/>
      <c r="D4" s="251"/>
      <c r="E4" s="243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52"/>
      <c r="W4" s="252"/>
      <c r="X4" s="253"/>
      <c r="Y4" s="72"/>
      <c r="Z4" s="72"/>
      <c r="AA4" s="70"/>
      <c r="AB4" s="71"/>
      <c r="AC4" s="71"/>
    </row>
    <row r="5" spans="1:29">
      <c r="A5" s="254"/>
      <c r="B5" s="249"/>
      <c r="C5" s="255"/>
      <c r="D5" s="251" t="s">
        <v>94</v>
      </c>
      <c r="E5" s="243" t="s">
        <v>2</v>
      </c>
      <c r="F5" s="256"/>
      <c r="G5" s="256"/>
      <c r="H5" s="237"/>
      <c r="I5" s="256">
        <f t="shared" ref="I5:U5" si="1">Calendar.Years</f>
        <v>2012</v>
      </c>
      <c r="J5" s="256">
        <f t="shared" si="1"/>
        <v>2013</v>
      </c>
      <c r="K5" s="256">
        <f t="shared" si="1"/>
        <v>2014</v>
      </c>
      <c r="L5" s="256">
        <f t="shared" si="1"/>
        <v>2015</v>
      </c>
      <c r="M5" s="256">
        <f t="shared" si="1"/>
        <v>2016</v>
      </c>
      <c r="N5" s="256">
        <f t="shared" si="1"/>
        <v>2017</v>
      </c>
      <c r="O5" s="256">
        <f t="shared" si="1"/>
        <v>2018</v>
      </c>
      <c r="P5" s="256">
        <f t="shared" si="1"/>
        <v>2019</v>
      </c>
      <c r="Q5" s="256">
        <f t="shared" si="1"/>
        <v>2020</v>
      </c>
      <c r="R5" s="256">
        <f t="shared" si="1"/>
        <v>2021</v>
      </c>
      <c r="S5" s="256">
        <f t="shared" si="1"/>
        <v>2022</v>
      </c>
      <c r="T5" s="256">
        <f t="shared" si="1"/>
        <v>2023</v>
      </c>
      <c r="U5" s="256">
        <f t="shared" si="1"/>
        <v>2024</v>
      </c>
      <c r="V5" s="249"/>
      <c r="W5" s="249"/>
      <c r="X5" s="253"/>
      <c r="Y5" s="72"/>
      <c r="Z5" s="72"/>
      <c r="AA5" s="73"/>
      <c r="AB5" s="71"/>
      <c r="AC5" s="71"/>
    </row>
    <row r="6" spans="1:29" ht="12.75" customHeight="1">
      <c r="A6" s="237"/>
      <c r="B6" s="237"/>
      <c r="C6" s="237"/>
      <c r="D6" s="237"/>
      <c r="E6" s="243" t="s">
        <v>3</v>
      </c>
      <c r="F6" s="256"/>
      <c r="G6" s="256"/>
      <c r="H6" s="237"/>
      <c r="I6" s="257">
        <v>-2</v>
      </c>
      <c r="J6" s="257">
        <v>-1</v>
      </c>
      <c r="K6" s="257">
        <v>0</v>
      </c>
      <c r="L6" s="257">
        <v>1</v>
      </c>
      <c r="M6" s="257">
        <v>2</v>
      </c>
      <c r="N6" s="257">
        <v>3</v>
      </c>
      <c r="O6" s="257">
        <v>4</v>
      </c>
      <c r="P6" s="257">
        <v>5</v>
      </c>
      <c r="Q6" s="257">
        <v>6</v>
      </c>
      <c r="R6" s="257">
        <v>7</v>
      </c>
      <c r="S6" s="257">
        <v>8</v>
      </c>
      <c r="T6" s="257">
        <v>9</v>
      </c>
      <c r="U6" s="257">
        <v>10</v>
      </c>
      <c r="V6" s="237"/>
      <c r="W6" s="258" t="s">
        <v>166</v>
      </c>
      <c r="X6" s="259"/>
    </row>
    <row r="7" spans="1:29" ht="12.75" customHeight="1">
      <c r="A7" s="237"/>
      <c r="B7" s="237"/>
      <c r="C7" s="237"/>
      <c r="D7" s="237"/>
      <c r="E7" s="237" t="s">
        <v>4</v>
      </c>
      <c r="F7" s="237"/>
      <c r="G7" s="237"/>
      <c r="H7" s="237"/>
      <c r="I7" s="237"/>
      <c r="J7" s="237"/>
      <c r="K7" s="237"/>
      <c r="L7" s="260">
        <v>4</v>
      </c>
      <c r="M7" s="260">
        <v>3</v>
      </c>
      <c r="N7" s="260">
        <v>2</v>
      </c>
      <c r="O7" s="260">
        <v>1</v>
      </c>
      <c r="P7" s="260">
        <v>0</v>
      </c>
      <c r="Q7" s="237"/>
      <c r="R7" s="237"/>
      <c r="S7" s="237"/>
      <c r="T7" s="237"/>
      <c r="U7" s="237"/>
      <c r="V7" s="237"/>
      <c r="W7" s="237"/>
      <c r="X7" s="237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5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5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266.26160355903886</v>
      </c>
      <c r="M14" s="50">
        <f>Actual.Totex.Water/Indexation.Average</f>
        <v>256.05813138777938</v>
      </c>
      <c r="N14" s="50">
        <f>Actual.Totex.Water/Indexation.Average</f>
        <v>306.47173606353635</v>
      </c>
      <c r="O14" s="50">
        <f>Actual.Totex.Water/Indexation.Average</f>
        <v>324.11095656011997</v>
      </c>
      <c r="P14" s="50">
        <f>Actual.Totex.Water/Indexation.Average</f>
        <v>291.90078173356926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164.81468957985351</v>
      </c>
      <c r="M15" s="50">
        <f>Actual.Totex.Sewerage/Indexation.Average</f>
        <v>155.80470650020436</v>
      </c>
      <c r="N15" s="50">
        <f>Actual.Totex.Sewerage/Indexation.Average</f>
        <v>155.24865718875986</v>
      </c>
      <c r="O15" s="50">
        <f>Actual.Totex.Sewerage/Indexation.Average</f>
        <v>152.45841923721585</v>
      </c>
      <c r="P15" s="50">
        <f>Actual.Totex.Sewerage/Indexation.Average</f>
        <v>154.50696048649573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18.507653347038318</v>
      </c>
      <c r="M18" s="50">
        <f>SUM(INDEX(Actual.Exclusions.Water,,M6))/Indexation.Average</f>
        <v>12.241521368596493</v>
      </c>
      <c r="N18" s="50">
        <f>SUM(INDEX(Actual.Exclusions.Water,,N6))/Indexation.Average</f>
        <v>13.023720421958831</v>
      </c>
      <c r="O18" s="50">
        <f>SUM(INDEX(Actual.Exclusions.Water,,O6))/Indexation.Average</f>
        <v>13.0146062281295</v>
      </c>
      <c r="P18" s="50">
        <f>SUM(INDEX(Actual.Exclusions.Water,,P6))/Indexation.Average</f>
        <v>12.945295580425968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0">
        <f>SUM(Inputs!L66:L72)/Indexation.Average</f>
        <v>6.1509842605679035</v>
      </c>
      <c r="M19" s="220">
        <f>SUM(Inputs!M66:M72)/Indexation.Average</f>
        <v>3.5141974904871214</v>
      </c>
      <c r="N19" s="220">
        <f>SUM(Inputs!N66:N72)/Indexation.Average</f>
        <v>5.2591515050471367</v>
      </c>
      <c r="O19" s="220">
        <f>SUM(Inputs!O66:O72)/Indexation.Average</f>
        <v>2.7110165554150609</v>
      </c>
      <c r="P19" s="220">
        <f>SUM(Inputs!P66:P72)/Indexation.Average</f>
        <v>2.7134573459715643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3.73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1"/>
      <c r="J26" s="221"/>
      <c r="K26" s="221"/>
      <c r="L26" s="220"/>
      <c r="M26" s="220"/>
      <c r="N26" s="220"/>
      <c r="O26" s="220"/>
      <c r="P26" s="220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1"/>
      <c r="J27" s="221"/>
      <c r="K27" s="221"/>
      <c r="L27" s="220"/>
      <c r="M27" s="220"/>
      <c r="N27" s="220"/>
      <c r="O27" s="220"/>
      <c r="P27" s="220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0">
        <f>L14-L18+L22</f>
        <v>247.75395021200055</v>
      </c>
      <c r="M30" s="220">
        <f t="shared" ref="M30:P30" si="2">M14-M18+M22</f>
        <v>243.81661001918289</v>
      </c>
      <c r="N30" s="220">
        <f t="shared" si="2"/>
        <v>293.44801564157751</v>
      </c>
      <c r="O30" s="220">
        <f t="shared" si="2"/>
        <v>311.09635033199049</v>
      </c>
      <c r="P30" s="220">
        <f t="shared" si="2"/>
        <v>278.95548615314328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0">
        <f>L15-L19+L23</f>
        <v>162.3937053192856</v>
      </c>
      <c r="M31" s="220">
        <f t="shared" ref="M31:P31" si="3">M15-M19+M23</f>
        <v>152.29050900971723</v>
      </c>
      <c r="N31" s="220">
        <f t="shared" si="3"/>
        <v>149.98950568371274</v>
      </c>
      <c r="O31" s="220">
        <f t="shared" si="3"/>
        <v>149.74740268180079</v>
      </c>
      <c r="P31" s="220">
        <f t="shared" si="3"/>
        <v>151.79350314052417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410.14765553128615</v>
      </c>
      <c r="M32" s="81">
        <f>SUM(M30:M31)</f>
        <v>396.10711902890012</v>
      </c>
      <c r="N32" s="81">
        <f t="shared" ref="N32:P32" si="4">SUM(N30:N31)</f>
        <v>443.43752132529028</v>
      </c>
      <c r="O32" s="81">
        <f t="shared" si="4"/>
        <v>460.84375301379129</v>
      </c>
      <c r="P32" s="81">
        <f t="shared" si="4"/>
        <v>430.74898929366748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5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5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5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0.50339719031195473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99.575351211005653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0.2108817817452211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0.50327869925191815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99.590162593510229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0.2035749696468212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5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0.51200000000000001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98.5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0.73200000000000021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0.51200000000000001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98.5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0.73200000000000021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5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1.0514980188051815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105.14980188051814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-2.6726985628252877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-2.6726985628252879E-2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0.76630666625769361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76.630666625769365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11.929098687606086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0.11929098687606085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5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-34.951551492874877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119.27665894008659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0.54580965823876904</v>
      </c>
      <c r="M97" s="153">
        <f>FD.AddInc.Coeff.Water/100*Baseline.Totex.Water</f>
        <v>0.57625133122858674</v>
      </c>
      <c r="N97" s="153">
        <f>FD.AddInc.Coeff.Water/100*Baseline.Totex.Water</f>
        <v>0.59591239439122212</v>
      </c>
      <c r="O97" s="153">
        <f>FD.AddInc.Coeff.Water/100*Baseline.Totex.Water</f>
        <v>0.53511510706003118</v>
      </c>
      <c r="P97" s="153">
        <f>FD.AddInc.Coeff.Water/100*Baseline.Totex.Water</f>
        <v>0.50466562175837271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0.41798839514172254</v>
      </c>
      <c r="M98" s="153">
        <f>FD.AddInc.Coeff.Sewerage/100*Baseline.Totex.Sewerage</f>
        <v>0.42196739942716133</v>
      </c>
      <c r="N98" s="153">
        <f>FD.AddInc.Coeff.Sewerage/100*Baseline.Totex.Sewerage</f>
        <v>0.43384934514022067</v>
      </c>
      <c r="O98" s="153">
        <f>FD.AddInc.Coeff.Sewerage/100*Baseline.Totex.Sewerage</f>
        <v>0.410737113280852</v>
      </c>
      <c r="P98" s="153">
        <f>FD.AddInc.Coeff.Sewerage/100*Baseline.Totex.Sewerage</f>
        <v>0.35096293136485562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-37.709305605551862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117.24115375573177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-7.4633569071204438</v>
      </c>
      <c r="M105" s="153">
        <f>IF(SUM(Baseline.Totex.Water)=0,0,$G101*(Baseline.Totex.Water/SUM(Baseline.Totex.Water)))</f>
        <v>-7.8796138694944364</v>
      </c>
      <c r="N105" s="153">
        <f>IF(SUM(Baseline.Totex.Water)=0,0,$G101*(Baseline.Totex.Water/SUM(Baseline.Totex.Water)))</f>
        <v>-8.1484576492649925</v>
      </c>
      <c r="O105" s="153">
        <f>IF(SUM(Baseline.Totex.Water)=0,0,$G101*(Baseline.Totex.Water/SUM(Baseline.Totex.Water)))</f>
        <v>-7.3171204834815819</v>
      </c>
      <c r="P105" s="153">
        <f>IF(SUM(Baseline.Totex.Water)=0,0,$G101*(Baseline.Totex.Water/SUM(Baseline.Totex.Water)))</f>
        <v>-6.9007566961904088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24.075321487552667</v>
      </c>
      <c r="M106" s="153">
        <f>IF(SUM(Baseline.Totex.Sewerage)=0,0,$G102*(Baseline.Totex.Sewerage/SUM(Baseline.Totex.Sewerage)))</f>
        <v>24.304504422977963</v>
      </c>
      <c r="N106" s="153">
        <f>IF(SUM(Baseline.Totex.Sewerage)=0,0,$G102*(Baseline.Totex.Sewerage/SUM(Baseline.Totex.Sewerage)))</f>
        <v>24.988881468523832</v>
      </c>
      <c r="O106" s="153">
        <f>IF(SUM(Baseline.Totex.Sewerage)=0,0,$G102*(Baseline.Totex.Sewerage/SUM(Baseline.Totex.Sewerage)))</f>
        <v>23.657661705543344</v>
      </c>
      <c r="P106" s="153">
        <f>IF(SUM(Baseline.Totex.Sewerage)=0,0,$G102*(Baseline.Totex.Sewerage/SUM(Baseline.Totex.Sewerage)))</f>
        <v>20.214784671133966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-8.5975207421486672</v>
      </c>
      <c r="M109" s="153">
        <f>M105*(1+WACC)^Calcs!M7</f>
        <v>-8.7616157373891248</v>
      </c>
      <c r="N109" s="153">
        <f>N105*(1+WACC)^Calcs!N7</f>
        <v>-8.7457070011255205</v>
      </c>
      <c r="O109" s="153">
        <f>O105*(1+WACC)^Calcs!O7</f>
        <v>-7.5805368208869188</v>
      </c>
      <c r="P109" s="153">
        <f>P105*(1+WACC)^Calcs!P7</f>
        <v>-6.9007566961904088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27.733910951739933</v>
      </c>
      <c r="M110" s="153">
        <f>M106*(1+WACC)^Calcs!M7</f>
        <v>27.025020764814482</v>
      </c>
      <c r="N110" s="153">
        <f>N106*(1+WACC)^Calcs!N7</f>
        <v>26.820466524640757</v>
      </c>
      <c r="O110" s="153">
        <f>O106*(1+WACC)^Calcs!O7</f>
        <v>24.509337526942904</v>
      </c>
      <c r="P110" s="153">
        <f>P106*(1+WACC)^Calcs!P7</f>
        <v>20.214784671133966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-40.586136997740638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126.30352043927205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5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5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257.72348831511158</v>
      </c>
      <c r="M136" s="153">
        <f>Baseline.Totex.Water*(FD.AllExp.Coeff.Water/100)</f>
        <v>272.0976094664299</v>
      </c>
      <c r="N136" s="153">
        <f>Baseline.Totex.Water*(FD.AllExp.Coeff.Water/100)</f>
        <v>281.38128135785234</v>
      </c>
      <c r="O136" s="153">
        <f>Baseline.Totex.Water*(FD.AllExp.Coeff.Water/100)</f>
        <v>252.67367471407948</v>
      </c>
      <c r="P136" s="153">
        <f>Baseline.Totex.Water*(FD.AllExp.Coeff.Water/100)</f>
        <v>238.29586470121572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204.48256633211568</v>
      </c>
      <c r="M137" s="153">
        <f>Baseline.Totex.Sewerage*(FD.AllExp.Coeff.Sewerage/100)</f>
        <v>206.42912039244345</v>
      </c>
      <c r="N137" s="153">
        <f>Baseline.Totex.Sewerage*(FD.AllExp.Coeff.Sewerage/100)</f>
        <v>212.24184337869156</v>
      </c>
      <c r="O137" s="153">
        <f>Baseline.Totex.Sewerage*(FD.AllExp.Coeff.Sewerage/100)</f>
        <v>200.93519338745392</v>
      </c>
      <c r="P137" s="153">
        <f>Baseline.Totex.Sewerage*(FD.AllExp.Coeff.Sewerage/100)</f>
        <v>171.69328557218685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263.40205409454398</v>
      </c>
      <c r="M140" s="153">
        <f>Inputs!M46</f>
        <v>277.60821974186098</v>
      </c>
      <c r="N140" s="153">
        <f>Inputs!N46</f>
        <v>286.89678039328601</v>
      </c>
      <c r="O140" s="153">
        <f>Inputs!O46</f>
        <v>258.20677328552398</v>
      </c>
      <c r="P140" s="153">
        <f>Inputs!P46</f>
        <v>243.82994102466199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207.667566332116</v>
      </c>
      <c r="M141" s="153">
        <f>Inputs!M47</f>
        <v>209.46712039244301</v>
      </c>
      <c r="N141" s="153">
        <f>Inputs!N47</f>
        <v>215.24984337869199</v>
      </c>
      <c r="O141" s="153">
        <f>Inputs!O47</f>
        <v>203.91319338745399</v>
      </c>
      <c r="P141" s="153">
        <f>Inputs!P47</f>
        <v>174.641285572187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5.6785657794324038</v>
      </c>
      <c r="M144" s="153">
        <f t="shared" ref="M144:P144" si="5">M140-M136</f>
        <v>5.5106102754310768</v>
      </c>
      <c r="N144" s="153">
        <f t="shared" si="5"/>
        <v>5.5154990354336633</v>
      </c>
      <c r="O144" s="153">
        <f t="shared" si="5"/>
        <v>5.5330985714444978</v>
      </c>
      <c r="P144" s="153">
        <f t="shared" si="5"/>
        <v>5.5340763234462713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3.1850000000003149</v>
      </c>
      <c r="M145" s="153">
        <f t="shared" ref="M145:P145" si="6">M141-M137</f>
        <v>3.0379999999995562</v>
      </c>
      <c r="N145" s="153">
        <f t="shared" si="6"/>
        <v>3.0080000000004361</v>
      </c>
      <c r="O145" s="153">
        <f t="shared" si="6"/>
        <v>2.9780000000000655</v>
      </c>
      <c r="P145" s="153">
        <f t="shared" si="6"/>
        <v>2.9480000000001496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254.94023661784189</v>
      </c>
      <c r="M148" s="153">
        <f>Baseline.Totex.Water*(AllExp.Coeff.Water/100)</f>
        <v>269.15912629471171</v>
      </c>
      <c r="N148" s="153">
        <f>Baseline.Totex.Water*(AllExp.Coeff.Water/100)</f>
        <v>278.34254036439802</v>
      </c>
      <c r="O148" s="153">
        <f>Baseline.Totex.Water*(AllExp.Coeff.Water/100)</f>
        <v>249.94495782994557</v>
      </c>
      <c r="P148" s="153">
        <f>Baseline.Totex.Water*(AllExp.Coeff.Water/100)</f>
        <v>235.72241912891658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202.24420022210018</v>
      </c>
      <c r="M149" s="153">
        <f>Baseline.Totex.Sewerage*(AllExp.Coeff.Sewerage/100)</f>
        <v>204.16944635032348</v>
      </c>
      <c r="N149" s="153">
        <f>Baseline.Totex.Sewerage*(AllExp.Coeff.Sewerage/100)</f>
        <v>209.91854042985005</v>
      </c>
      <c r="O149" s="153">
        <f>Baseline.Totex.Sewerage*(AllExp.Coeff.Sewerage/100)</f>
        <v>198.73565855543606</v>
      </c>
      <c r="P149" s="153">
        <f>Baseline.Totex.Sewerage*(AllExp.Coeff.Sewerage/100)</f>
        <v>169.81384695482421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260.61880239727429</v>
      </c>
      <c r="M152" s="153">
        <f t="shared" ref="M152:P152" si="7">M148+M144</f>
        <v>274.66973657014279</v>
      </c>
      <c r="N152" s="153">
        <f t="shared" si="7"/>
        <v>283.85803939983168</v>
      </c>
      <c r="O152" s="153">
        <f t="shared" si="7"/>
        <v>255.47805640139006</v>
      </c>
      <c r="P152" s="153">
        <f t="shared" si="7"/>
        <v>241.25649545236286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205.42920022210049</v>
      </c>
      <c r="M153" s="153">
        <f t="shared" ref="M153:P153" si="8">M149+M145</f>
        <v>207.20744635032304</v>
      </c>
      <c r="N153" s="153">
        <f t="shared" si="8"/>
        <v>212.92654042985049</v>
      </c>
      <c r="O153" s="153">
        <f t="shared" si="8"/>
        <v>201.71365855543613</v>
      </c>
      <c r="P153" s="153">
        <f t="shared" si="8"/>
        <v>172.76184695482436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-2.7832516972696908</v>
      </c>
      <c r="M156" s="153">
        <f t="shared" si="9"/>
        <v>-2.9384831717181896</v>
      </c>
      <c r="N156" s="153">
        <f t="shared" si="9"/>
        <v>-3.0387409934543257</v>
      </c>
      <c r="O156" s="153">
        <f t="shared" si="9"/>
        <v>-2.7287168841339167</v>
      </c>
      <c r="P156" s="153">
        <f t="shared" si="9"/>
        <v>-2.5734455722991356</v>
      </c>
      <c r="Q156" s="75"/>
      <c r="R156" s="3" t="s">
        <v>470</v>
      </c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-2.2383661100155052</v>
      </c>
      <c r="M157" s="153">
        <f t="shared" si="9"/>
        <v>-2.2596740421199684</v>
      </c>
      <c r="N157" s="153">
        <f t="shared" si="9"/>
        <v>-2.3233029488415013</v>
      </c>
      <c r="O157" s="153">
        <f t="shared" si="9"/>
        <v>-2.1995348320178607</v>
      </c>
      <c r="P157" s="153">
        <f t="shared" si="9"/>
        <v>-1.8794386173626378</v>
      </c>
      <c r="Q157" s="75"/>
      <c r="R157" s="3" t="s">
        <v>470</v>
      </c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5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-7.1862864058413436</v>
      </c>
      <c r="M162" s="218">
        <f>(Actual.Totex.Water-SUM(Inputs!M60:M64))/Indexation.Average-M148</f>
        <v>-25.342516275528766</v>
      </c>
      <c r="N162" s="218">
        <f>(Actual.Totex.Water-SUM(Inputs!N60:N64))/Indexation.Average-N148</f>
        <v>15.105475277179494</v>
      </c>
      <c r="O162" s="218">
        <f>(Actual.Totex.Water-SUM(Inputs!O60:O64))/Indexation.Average-O148</f>
        <v>61.151392502044928</v>
      </c>
      <c r="P162" s="218">
        <f>(Actual.Totex.Water-SUM(Inputs!P60:P64))/Indexation.Average-P148</f>
        <v>43.233067024226756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-39.850494902814575</v>
      </c>
      <c r="M163" s="218">
        <f>(Actual.Totex.Sewerage-SUM(Inputs!M66:M72))/Indexation.Average-M149</f>
        <v>-51.878937340606257</v>
      </c>
      <c r="N163" s="218">
        <f>(Actual.Totex.Sewerage-SUM(Inputs!N66:N72))/Indexation.Average-N149</f>
        <v>-59.929034746137319</v>
      </c>
      <c r="O163" s="218">
        <f>(Actual.Totex.Sewerage-SUM(Inputs!O66:O72))/Indexation.Average-O149</f>
        <v>-48.988255873635239</v>
      </c>
      <c r="P163" s="218">
        <f>(Actual.Totex.Sewerage-SUM(Inputs!P66:P72))/Indexation.Average-P149</f>
        <v>-18.020343814300048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-9.9695381031110344</v>
      </c>
      <c r="M166" s="153">
        <f t="shared" ref="L166:P167" si="10">M162+M156</f>
        <v>-28.280999447246955</v>
      </c>
      <c r="N166" s="153">
        <f t="shared" si="10"/>
        <v>12.066734283725168</v>
      </c>
      <c r="O166" s="153">
        <f t="shared" si="10"/>
        <v>58.422675617911011</v>
      </c>
      <c r="P166" s="153">
        <f t="shared" si="10"/>
        <v>40.65962145192762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-42.08886101283008</v>
      </c>
      <c r="M167" s="153">
        <f t="shared" si="10"/>
        <v>-54.138611382726225</v>
      </c>
      <c r="N167" s="153">
        <f t="shared" si="10"/>
        <v>-62.25233769497882</v>
      </c>
      <c r="O167" s="153">
        <f t="shared" si="10"/>
        <v>-51.1877907056531</v>
      </c>
      <c r="P167" s="153">
        <f t="shared" si="10"/>
        <v>-19.899782431662686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-11.484552018323482</v>
      </c>
      <c r="M170" s="153">
        <f>M166*(1+WACC)^Calcs!M7</f>
        <v>-31.446623391710737</v>
      </c>
      <c r="N170" s="153">
        <f>N166*(1+WACC)^Calcs!N7</f>
        <v>12.951177639785088</v>
      </c>
      <c r="O170" s="153">
        <f>O166*(1+WACC)^Calcs!O7</f>
        <v>60.525891940155809</v>
      </c>
      <c r="P170" s="153">
        <f>P166*(1+WACC)^Calcs!P7</f>
        <v>40.65962145192762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-48.484865466635419</v>
      </c>
      <c r="M171" s="153">
        <f>M167*(1+WACC)^Calcs!M7</f>
        <v>-60.198598224169373</v>
      </c>
      <c r="N171" s="153">
        <f>N167*(1+WACC)^Calcs!N7</f>
        <v>-66.815185038669995</v>
      </c>
      <c r="O171" s="153">
        <f>O167*(1+WACC)^Calcs!O7</f>
        <v>-53.030551171056615</v>
      </c>
      <c r="P171" s="153">
        <f>P167*(1+WACC)^Calcs!P7</f>
        <v>-19.899782431662686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71.205515621834294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-248.4289823321941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5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2">
        <f>(Inputs!L72/Indexation.Average)-Inputs!L151</f>
        <v>0</v>
      </c>
      <c r="M180" s="222">
        <f>(Inputs!M72/Indexation.Average)-Inputs!M151</f>
        <v>0</v>
      </c>
      <c r="N180" s="222">
        <f>(Inputs!N72/Indexation.Average)-Inputs!N151</f>
        <v>0</v>
      </c>
      <c r="O180" s="222">
        <f>(Inputs!O72/Indexation.Average)-Inputs!O151</f>
        <v>0</v>
      </c>
      <c r="P180" s="222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2">
        <f>L180*(1+WACC)^Calcs!L7</f>
        <v>0</v>
      </c>
      <c r="M183" s="222">
        <f>M180*(1+WACC)^Calcs!M7</f>
        <v>0</v>
      </c>
      <c r="N183" s="222">
        <f>N180*(1+WACC)^Calcs!N7</f>
        <v>0</v>
      </c>
      <c r="O183" s="222">
        <f>O180*(1+WACC)^Calcs!O7</f>
        <v>0</v>
      </c>
      <c r="P183" s="222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3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5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0.69531020819859746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0.52677189775040012</v>
      </c>
      <c r="H193" s="89" t="s">
        <v>304</v>
      </c>
    </row>
    <row r="194" spans="1:24"/>
    <row r="195" spans="1:24" s="22" customFormat="1" ht="15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8.9237848941654505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88">
        <f>Total.Adj.Sewerage*WeightedPAYG.Sewerage+P114</f>
        <v>-4.561886040058468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5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21.695593729928209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-117.56357585286359</v>
      </c>
    </row>
    <row r="204" spans="1:24"/>
    <row r="205" spans="1:24" ht="13.5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 activeCell="P11" sqref="P11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5">
      <c r="V4" s="96"/>
    </row>
    <row r="5" spans="1:24" ht="12.75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5"/>
    <row r="8" spans="1:24" ht="12.75"/>
    <row r="9" spans="1:24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5">
      <c r="A11" s="72"/>
      <c r="D11" s="30" t="s">
        <v>41</v>
      </c>
      <c r="E11" s="91" t="s">
        <v>306</v>
      </c>
      <c r="F11" s="33" t="s">
        <v>28</v>
      </c>
      <c r="P11" s="88">
        <f>Calcs!P197</f>
        <v>8.9237848941654505</v>
      </c>
      <c r="X11" s="74"/>
    </row>
    <row r="12" spans="1:24" s="3" customFormat="1" ht="12.75">
      <c r="A12" s="72"/>
      <c r="D12" s="30" t="s">
        <v>41</v>
      </c>
      <c r="E12" s="91" t="s">
        <v>307</v>
      </c>
      <c r="F12" s="33" t="s">
        <v>28</v>
      </c>
      <c r="P12" s="88">
        <f>Calcs!P198</f>
        <v>-4.561886040058468</v>
      </c>
      <c r="X12" s="74"/>
    </row>
    <row r="13" spans="1:24" s="3" customFormat="1" ht="12.75">
      <c r="E13" s="91"/>
      <c r="F13" s="33"/>
      <c r="P13" s="153"/>
      <c r="X13" s="74"/>
    </row>
    <row r="14" spans="1:24" s="3" customFormat="1" ht="12.75">
      <c r="A14" s="72"/>
      <c r="D14" s="30" t="s">
        <v>41</v>
      </c>
      <c r="E14" s="78" t="s">
        <v>316</v>
      </c>
      <c r="F14" s="33" t="s">
        <v>28</v>
      </c>
      <c r="P14" s="156">
        <f>SUM(P11:P12)</f>
        <v>4.3618988541069825</v>
      </c>
      <c r="X14" s="74"/>
    </row>
    <row r="15" spans="1:24" s="3" customFormat="1" ht="12.75">
      <c r="E15" s="91"/>
      <c r="F15" s="91"/>
      <c r="G15" s="91"/>
      <c r="X15" s="74"/>
    </row>
    <row r="16" spans="1:24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5">
      <c r="A18" s="72"/>
      <c r="D18" s="30" t="s">
        <v>41</v>
      </c>
      <c r="E18" s="91" t="s">
        <v>309</v>
      </c>
      <c r="F18" s="33" t="s">
        <v>28</v>
      </c>
      <c r="P18" s="88">
        <f>Calcs!P202</f>
        <v>21.695593729928209</v>
      </c>
      <c r="X18" s="74"/>
    </row>
    <row r="19" spans="1:24" s="3" customFormat="1" ht="12.75">
      <c r="A19" s="72"/>
      <c r="D19" s="30" t="s">
        <v>41</v>
      </c>
      <c r="E19" s="91" t="s">
        <v>310</v>
      </c>
      <c r="F19" s="33" t="s">
        <v>28</v>
      </c>
      <c r="P19" s="88">
        <f>Calcs!P203</f>
        <v>-117.56357585286359</v>
      </c>
      <c r="X19" s="74"/>
    </row>
    <row r="20" spans="1:24" customFormat="1" ht="15">
      <c r="G20" s="7"/>
    </row>
    <row r="21" spans="1:24" s="3" customFormat="1" ht="12.75">
      <c r="A21" s="72"/>
      <c r="D21" s="30" t="s">
        <v>41</v>
      </c>
      <c r="E21" s="78" t="s">
        <v>318</v>
      </c>
      <c r="F21" s="33" t="s">
        <v>28</v>
      </c>
      <c r="P21" s="156">
        <f>SUM(P18:P19)</f>
        <v>-95.867982122935388</v>
      </c>
      <c r="X21" s="74"/>
    </row>
    <row r="22" spans="1:24" ht="13.5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-95.867982122935388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&amp;L&amp;F&amp;C&amp;A&amp;ROFFICIAL</oddHeader>
    <oddFooter>&amp;LPrinted on &amp;D at &amp;T&amp;CPage &amp;P of &amp;N&amp;ROfwat</oddFooter>
  </headerFooter>
  <ignoredErrors>
    <ignoredError sqref="P15:P17 P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9"/>
  <sheetViews>
    <sheetView tabSelected="1" zoomScaleNormal="100" workbookViewId="0">
      <pane xSplit="3" ySplit="2" topLeftCell="E3" activePane="bottomRight" state="frozen"/>
      <selection pane="topRight"/>
      <selection pane="bottomLeft"/>
      <selection pane="bottomRight" activeCell="G4" sqref="G4"/>
    </sheetView>
  </sheetViews>
  <sheetFormatPr defaultColWidth="8.85546875" defaultRowHeight="15"/>
  <cols>
    <col min="1" max="1" width="3.85546875" style="261" customWidth="1"/>
    <col min="2" max="2" width="20.5703125" style="261" customWidth="1"/>
    <col min="3" max="3" width="22.85546875" style="261" customWidth="1"/>
    <col min="4" max="4" width="3.28515625" style="261" customWidth="1"/>
    <col min="5" max="5" width="15.28515625" style="261" customWidth="1"/>
    <col min="6" max="6" width="8.5703125" style="261" customWidth="1"/>
    <col min="7" max="7" width="14.140625" style="261" customWidth="1"/>
    <col min="8" max="16384" width="8.85546875" style="261"/>
  </cols>
  <sheetData>
    <row r="1" spans="1:7">
      <c r="C1" s="261" t="s">
        <v>468</v>
      </c>
    </row>
    <row r="2" spans="1:7">
      <c r="A2" s="261" t="s">
        <v>372</v>
      </c>
      <c r="B2" s="261" t="s">
        <v>373</v>
      </c>
      <c r="C2" s="261" t="s">
        <v>374</v>
      </c>
      <c r="D2" s="261" t="s">
        <v>375</v>
      </c>
      <c r="E2" s="261" t="s">
        <v>376</v>
      </c>
      <c r="F2" s="262" t="s">
        <v>366</v>
      </c>
      <c r="G2" s="262" t="s">
        <v>434</v>
      </c>
    </row>
    <row r="4" spans="1:7">
      <c r="B4" s="261" t="s">
        <v>435</v>
      </c>
      <c r="C4" s="91" t="s">
        <v>306</v>
      </c>
      <c r="D4" s="261" t="s">
        <v>381</v>
      </c>
      <c r="E4" s="261" t="s">
        <v>404</v>
      </c>
      <c r="F4" s="264"/>
      <c r="G4" s="265">
        <f>'Totex menu adjustments'!P11</f>
        <v>8.9237848941654505</v>
      </c>
    </row>
    <row r="5" spans="1:7">
      <c r="B5" s="261" t="s">
        <v>437</v>
      </c>
      <c r="C5" s="91" t="s">
        <v>307</v>
      </c>
      <c r="D5" s="261" t="s">
        <v>381</v>
      </c>
      <c r="E5" s="261" t="s">
        <v>404</v>
      </c>
      <c r="F5" s="265"/>
      <c r="G5" s="265">
        <f>'Totex menu adjustments'!P12</f>
        <v>-4.561886040058468</v>
      </c>
    </row>
    <row r="6" spans="1:7">
      <c r="B6" s="261" t="s">
        <v>463</v>
      </c>
      <c r="C6" s="263" t="s">
        <v>464</v>
      </c>
      <c r="D6" s="261" t="s">
        <v>381</v>
      </c>
      <c r="E6" s="261" t="s">
        <v>404</v>
      </c>
      <c r="F6" s="265"/>
      <c r="G6" s="265">
        <f>'Totex menu adjustments'!P14</f>
        <v>4.3618988541069825</v>
      </c>
    </row>
    <row r="7" spans="1:7">
      <c r="B7" s="261" t="s">
        <v>436</v>
      </c>
      <c r="C7" s="91" t="s">
        <v>309</v>
      </c>
      <c r="D7" s="261" t="s">
        <v>381</v>
      </c>
      <c r="E7" s="261" t="s">
        <v>404</v>
      </c>
      <c r="F7" s="265">
        <f>'Totex menu adjustments'!P18</f>
        <v>21.695593729928209</v>
      </c>
      <c r="G7" s="265"/>
    </row>
    <row r="8" spans="1:7">
      <c r="B8" s="261" t="s">
        <v>438</v>
      </c>
      <c r="C8" s="91" t="s">
        <v>310</v>
      </c>
      <c r="D8" s="261" t="s">
        <v>381</v>
      </c>
      <c r="E8" s="261" t="s">
        <v>404</v>
      </c>
      <c r="F8" s="265">
        <f>'Totex menu adjustments'!P19</f>
        <v>-117.56357585286359</v>
      </c>
      <c r="G8" s="265"/>
    </row>
    <row r="9" spans="1:7">
      <c r="B9" s="261" t="s">
        <v>465</v>
      </c>
      <c r="C9" s="263" t="s">
        <v>466</v>
      </c>
      <c r="D9" s="261" t="s">
        <v>381</v>
      </c>
      <c r="E9" s="261" t="s">
        <v>404</v>
      </c>
      <c r="F9" s="265">
        <f>'Totex menu adjustments'!P21</f>
        <v>-95.867982122935388</v>
      </c>
      <c r="G9" s="265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34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72" customFormat="1" ht="33.7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5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5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5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5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288.10000000000002</v>
      </c>
      <c r="Q11" s="128">
        <f>F_Inputs!O34</f>
        <v>296.7</v>
      </c>
      <c r="R11" s="128"/>
      <c r="S11" s="128"/>
      <c r="T11" s="128"/>
      <c r="U11" s="128"/>
      <c r="V11" s="125"/>
    </row>
    <row r="12" spans="1:24" s="72" customFormat="1" ht="12.75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289.10000000000002</v>
      </c>
      <c r="Q12" s="128">
        <f>F_Inputs!O35</f>
        <v>297.8</v>
      </c>
      <c r="R12" s="128"/>
      <c r="S12" s="128"/>
      <c r="T12" s="128"/>
      <c r="U12" s="128"/>
      <c r="V12" s="125"/>
    </row>
    <row r="13" spans="1:24" s="72" customFormat="1" ht="12.75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281.5</v>
      </c>
      <c r="P13" s="128">
        <f>F_Inputs!N36</f>
        <v>289.89999999999998</v>
      </c>
      <c r="Q13" s="128">
        <f>F_Inputs!O36</f>
        <v>298.60000000000002</v>
      </c>
      <c r="R13" s="128"/>
      <c r="S13" s="128"/>
      <c r="T13" s="128"/>
      <c r="U13" s="128"/>
      <c r="V13" s="125"/>
    </row>
    <row r="14" spans="1:24" s="72" customFormat="1" ht="12.75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281.10000000000002</v>
      </c>
      <c r="P14" s="128">
        <f>F_Inputs!N37</f>
        <v>289.5</v>
      </c>
      <c r="Q14" s="128">
        <f>F_Inputs!O37</f>
        <v>298.2</v>
      </c>
      <c r="R14" s="128"/>
      <c r="S14" s="128"/>
      <c r="T14" s="128"/>
      <c r="U14" s="128"/>
      <c r="V14" s="125"/>
    </row>
    <row r="15" spans="1:24" s="72" customFormat="1" ht="12.75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282.89999999999998</v>
      </c>
      <c r="P15" s="128">
        <f>F_Inputs!N38</f>
        <v>291.39999999999998</v>
      </c>
      <c r="Q15" s="128">
        <f>F_Inputs!O38</f>
        <v>300.10000000000002</v>
      </c>
      <c r="R15" s="128"/>
      <c r="S15" s="128"/>
      <c r="T15" s="128"/>
      <c r="U15" s="128"/>
      <c r="V15" s="125"/>
    </row>
    <row r="16" spans="1:24" s="72" customFormat="1" ht="12.75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283.39999999999998</v>
      </c>
      <c r="P16" s="128">
        <f>F_Inputs!N39</f>
        <v>291.89999999999998</v>
      </c>
      <c r="Q16" s="128">
        <f>F_Inputs!O39</f>
        <v>300.7</v>
      </c>
      <c r="R16" s="128"/>
      <c r="S16" s="128"/>
      <c r="T16" s="128"/>
      <c r="U16" s="128"/>
      <c r="V16" s="125"/>
    </row>
    <row r="17" spans="2:22" s="72" customFormat="1" ht="12.75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283.60000000000002</v>
      </c>
      <c r="P17" s="128">
        <f>F_Inputs!N40</f>
        <v>292.10000000000002</v>
      </c>
      <c r="Q17" s="128">
        <f>F_Inputs!O40</f>
        <v>300.89999999999998</v>
      </c>
      <c r="R17" s="128"/>
      <c r="S17" s="128"/>
      <c r="T17" s="128"/>
      <c r="U17" s="128"/>
      <c r="V17" s="125"/>
    </row>
    <row r="18" spans="2:22" s="72" customFormat="1" ht="12.75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284.10000000000002</v>
      </c>
      <c r="P18" s="128">
        <f>F_Inputs!N41</f>
        <v>292.60000000000002</v>
      </c>
      <c r="Q18" s="128">
        <f>F_Inputs!O41</f>
        <v>301.39999999999998</v>
      </c>
      <c r="R18" s="128"/>
      <c r="S18" s="128"/>
      <c r="T18" s="128"/>
      <c r="U18" s="128"/>
      <c r="V18" s="125"/>
    </row>
    <row r="19" spans="2:22" s="72" customFormat="1" ht="12.75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286.39999999999998</v>
      </c>
      <c r="P19" s="128">
        <f>F_Inputs!N42</f>
        <v>295</v>
      </c>
      <c r="Q19" s="128">
        <f>F_Inputs!O42</f>
        <v>303.89999999999998</v>
      </c>
      <c r="R19" s="128"/>
      <c r="S19" s="128"/>
      <c r="T19" s="128"/>
      <c r="U19" s="128"/>
      <c r="V19" s="125"/>
    </row>
    <row r="20" spans="2:22" s="72" customFormat="1" ht="12.75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284.3</v>
      </c>
      <c r="P20" s="128">
        <f>F_Inputs!N43</f>
        <v>292.8</v>
      </c>
      <c r="Q20" s="128">
        <f>F_Inputs!O43</f>
        <v>301.60000000000002</v>
      </c>
      <c r="R20" s="128"/>
      <c r="S20" s="128"/>
      <c r="T20" s="128"/>
      <c r="U20" s="128"/>
      <c r="V20" s="125"/>
    </row>
    <row r="21" spans="2:22" s="72" customFormat="1" ht="12.75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286.39999999999998</v>
      </c>
      <c r="P21" s="128">
        <f>F_Inputs!N44</f>
        <v>295</v>
      </c>
      <c r="Q21" s="128">
        <f>F_Inputs!O44</f>
        <v>303.89999999999998</v>
      </c>
      <c r="R21" s="128"/>
      <c r="S21" s="128"/>
      <c r="T21" s="128"/>
      <c r="U21" s="128"/>
      <c r="V21" s="125"/>
    </row>
    <row r="22" spans="2:22" s="72" customFormat="1" ht="12.75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286.60000000000002</v>
      </c>
      <c r="P22" s="128">
        <f>F_Inputs!N45</f>
        <v>295.2</v>
      </c>
      <c r="Q22" s="128">
        <f>F_Inputs!O45</f>
        <v>304.10000000000002</v>
      </c>
      <c r="R22" s="128"/>
      <c r="S22" s="128"/>
      <c r="T22" s="128"/>
      <c r="U22" s="128"/>
      <c r="V22" s="125"/>
    </row>
    <row r="23" spans="2:22" s="72" customFormat="1" ht="12.75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5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5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5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288.10000000000002</v>
      </c>
      <c r="Q29" s="133">
        <f t="shared" si="2"/>
        <v>296.7</v>
      </c>
      <c r="R29" s="133">
        <f t="shared" si="2"/>
        <v>296.7</v>
      </c>
      <c r="S29" s="133">
        <f t="shared" si="2"/>
        <v>296.7</v>
      </c>
      <c r="T29" s="133">
        <f t="shared" si="2"/>
        <v>296.7</v>
      </c>
      <c r="U29" s="133">
        <f t="shared" si="2"/>
        <v>296.7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289.10000000000002</v>
      </c>
      <c r="Q30" s="133">
        <f t="shared" si="3"/>
        <v>297.8</v>
      </c>
      <c r="R30" s="133">
        <f t="shared" si="3"/>
        <v>297.8</v>
      </c>
      <c r="S30" s="133">
        <f t="shared" si="3"/>
        <v>297.8</v>
      </c>
      <c r="T30" s="133">
        <f t="shared" si="3"/>
        <v>297.8</v>
      </c>
      <c r="U30" s="133">
        <f t="shared" si="3"/>
        <v>297.8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289.89999999999998</v>
      </c>
      <c r="Q31" s="133">
        <f t="shared" si="3"/>
        <v>298.60000000000002</v>
      </c>
      <c r="R31" s="133">
        <f t="shared" si="3"/>
        <v>298.60000000000002</v>
      </c>
      <c r="S31" s="133">
        <f t="shared" si="3"/>
        <v>298.60000000000002</v>
      </c>
      <c r="T31" s="133">
        <f t="shared" si="3"/>
        <v>298.60000000000002</v>
      </c>
      <c r="U31" s="133">
        <f t="shared" si="3"/>
        <v>298.60000000000002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281.10000000000002</v>
      </c>
      <c r="P32" s="133">
        <f t="shared" si="3"/>
        <v>289.5</v>
      </c>
      <c r="Q32" s="133">
        <f t="shared" si="3"/>
        <v>298.2</v>
      </c>
      <c r="R32" s="133">
        <f t="shared" si="3"/>
        <v>298.2</v>
      </c>
      <c r="S32" s="133">
        <f t="shared" si="3"/>
        <v>298.2</v>
      </c>
      <c r="T32" s="133">
        <f t="shared" si="3"/>
        <v>298.2</v>
      </c>
      <c r="U32" s="133">
        <f t="shared" si="3"/>
        <v>298.2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282.89999999999998</v>
      </c>
      <c r="P33" s="133">
        <f t="shared" si="3"/>
        <v>291.39999999999998</v>
      </c>
      <c r="Q33" s="133">
        <f t="shared" si="3"/>
        <v>300.10000000000002</v>
      </c>
      <c r="R33" s="133">
        <f t="shared" si="3"/>
        <v>300.10000000000002</v>
      </c>
      <c r="S33" s="133">
        <f t="shared" si="3"/>
        <v>300.10000000000002</v>
      </c>
      <c r="T33" s="133">
        <f t="shared" si="3"/>
        <v>300.10000000000002</v>
      </c>
      <c r="U33" s="133">
        <f t="shared" si="3"/>
        <v>300.10000000000002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283.39999999999998</v>
      </c>
      <c r="P34" s="133">
        <f t="shared" si="3"/>
        <v>291.89999999999998</v>
      </c>
      <c r="Q34" s="133">
        <f t="shared" si="3"/>
        <v>300.7</v>
      </c>
      <c r="R34" s="133">
        <f t="shared" si="3"/>
        <v>300.7</v>
      </c>
      <c r="S34" s="133">
        <f t="shared" si="3"/>
        <v>300.7</v>
      </c>
      <c r="T34" s="133">
        <f t="shared" si="3"/>
        <v>300.7</v>
      </c>
      <c r="U34" s="133">
        <f t="shared" si="3"/>
        <v>300.7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283.60000000000002</v>
      </c>
      <c r="P35" s="133">
        <f t="shared" si="3"/>
        <v>292.10000000000002</v>
      </c>
      <c r="Q35" s="133">
        <f t="shared" si="3"/>
        <v>300.89999999999998</v>
      </c>
      <c r="R35" s="133">
        <f t="shared" si="3"/>
        <v>300.89999999999998</v>
      </c>
      <c r="S35" s="133">
        <f t="shared" si="3"/>
        <v>300.89999999999998</v>
      </c>
      <c r="T35" s="133">
        <f t="shared" si="3"/>
        <v>300.89999999999998</v>
      </c>
      <c r="U35" s="133">
        <f t="shared" si="3"/>
        <v>300.89999999999998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284.10000000000002</v>
      </c>
      <c r="P36" s="133">
        <f t="shared" si="3"/>
        <v>292.60000000000002</v>
      </c>
      <c r="Q36" s="133">
        <f t="shared" si="3"/>
        <v>301.39999999999998</v>
      </c>
      <c r="R36" s="133">
        <f t="shared" si="3"/>
        <v>301.39999999999998</v>
      </c>
      <c r="S36" s="133">
        <f t="shared" si="3"/>
        <v>301.39999999999998</v>
      </c>
      <c r="T36" s="133">
        <f t="shared" si="3"/>
        <v>301.39999999999998</v>
      </c>
      <c r="U36" s="133">
        <f t="shared" si="3"/>
        <v>301.39999999999998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286.39999999999998</v>
      </c>
      <c r="P37" s="133">
        <f t="shared" si="3"/>
        <v>295</v>
      </c>
      <c r="Q37" s="133">
        <f t="shared" si="3"/>
        <v>303.89999999999998</v>
      </c>
      <c r="R37" s="133">
        <f t="shared" si="3"/>
        <v>303.89999999999998</v>
      </c>
      <c r="S37" s="133">
        <f t="shared" si="3"/>
        <v>303.89999999999998</v>
      </c>
      <c r="T37" s="133">
        <f t="shared" si="3"/>
        <v>303.89999999999998</v>
      </c>
      <c r="U37" s="133">
        <f t="shared" si="3"/>
        <v>303.89999999999998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284.3</v>
      </c>
      <c r="P38" s="133">
        <f t="shared" si="3"/>
        <v>292.8</v>
      </c>
      <c r="Q38" s="133">
        <f t="shared" si="3"/>
        <v>301.60000000000002</v>
      </c>
      <c r="R38" s="133">
        <f t="shared" si="3"/>
        <v>301.60000000000002</v>
      </c>
      <c r="S38" s="133">
        <f t="shared" si="3"/>
        <v>301.60000000000002</v>
      </c>
      <c r="T38" s="133">
        <f t="shared" si="3"/>
        <v>301.60000000000002</v>
      </c>
      <c r="U38" s="133">
        <f t="shared" si="3"/>
        <v>301.60000000000002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286.39999999999998</v>
      </c>
      <c r="P39" s="133">
        <f t="shared" si="3"/>
        <v>295</v>
      </c>
      <c r="Q39" s="133">
        <f t="shared" si="3"/>
        <v>303.89999999999998</v>
      </c>
      <c r="R39" s="133">
        <f t="shared" si="3"/>
        <v>303.89999999999998</v>
      </c>
      <c r="S39" s="133">
        <f t="shared" si="3"/>
        <v>303.89999999999998</v>
      </c>
      <c r="T39" s="133">
        <f t="shared" si="3"/>
        <v>303.89999999999998</v>
      </c>
      <c r="U39" s="133">
        <f t="shared" si="3"/>
        <v>303.89999999999998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286.60000000000002</v>
      </c>
      <c r="P40" s="133">
        <f t="shared" si="3"/>
        <v>295.2</v>
      </c>
      <c r="Q40" s="133">
        <f t="shared" si="3"/>
        <v>304.10000000000002</v>
      </c>
      <c r="R40" s="133">
        <f t="shared" si="3"/>
        <v>304.10000000000002</v>
      </c>
      <c r="S40" s="133">
        <f t="shared" si="3"/>
        <v>304.10000000000002</v>
      </c>
      <c r="T40" s="133">
        <f t="shared" si="3"/>
        <v>304.10000000000002</v>
      </c>
      <c r="U40" s="133">
        <f t="shared" si="3"/>
        <v>304.10000000000002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283.39166666666671</v>
      </c>
      <c r="P41" s="129">
        <f t="shared" si="4"/>
        <v>291.88333333333333</v>
      </c>
      <c r="Q41" s="129">
        <f t="shared" si="4"/>
        <v>300.65833333333336</v>
      </c>
      <c r="R41" s="129">
        <f t="shared" si="4"/>
        <v>300.65833333333336</v>
      </c>
      <c r="S41" s="129">
        <f t="shared" si="4"/>
        <v>300.65833333333336</v>
      </c>
      <c r="T41" s="129">
        <f t="shared" si="4"/>
        <v>300.65833333333336</v>
      </c>
      <c r="U41" s="129">
        <f t="shared" si="4"/>
        <v>300.65833333333336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1.1911949685534593</v>
      </c>
      <c r="Q45" s="185">
        <f t="shared" si="5"/>
        <v>1.2268343815513627</v>
      </c>
      <c r="R45" s="185">
        <f t="shared" si="5"/>
        <v>1.2637316561844862</v>
      </c>
      <c r="S45" s="185">
        <f t="shared" si="5"/>
        <v>1.2637316561844862</v>
      </c>
      <c r="T45" s="185">
        <f t="shared" si="5"/>
        <v>1.2637316561844862</v>
      </c>
      <c r="U45" s="185">
        <f t="shared" si="5"/>
        <v>1.2637316561844862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1.1582371172643986</v>
      </c>
      <c r="P49" s="185">
        <f t="shared" si="6"/>
        <v>1.1929430196519193</v>
      </c>
      <c r="Q49" s="185">
        <f t="shared" si="6"/>
        <v>1.2288069207452064</v>
      </c>
      <c r="R49" s="185">
        <f t="shared" si="6"/>
        <v>1.2288069207452064</v>
      </c>
      <c r="S49" s="185">
        <f t="shared" si="6"/>
        <v>1.2288069207452064</v>
      </c>
      <c r="T49" s="185">
        <f t="shared" si="6"/>
        <v>1.2288069207452064</v>
      </c>
      <c r="U49" s="185">
        <f t="shared" si="6"/>
        <v>1.2288069207452064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3.0858771105520155E-2</v>
      </c>
      <c r="P51" s="139">
        <f t="shared" si="7"/>
        <v>2.99644190901871E-2</v>
      </c>
      <c r="Q51" s="139">
        <f t="shared" si="7"/>
        <v>3.0063381488037555E-2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/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5">
      <c r="V4" s="96"/>
    </row>
    <row r="5" spans="1:22" ht="12.75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5"/>
    <row r="8" spans="1:22" ht="13.5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5"/>
    <row r="11" spans="1:22" ht="12.7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2019-01-18T16:09:52Z</dcterms:created>
  <dcterms:modified xsi:type="dcterms:W3CDTF">2019-03-26T15:09:12Z</dcterms:modified>
  <cp:category/>
  <cp:contentStatus/>
</cp:coreProperties>
</file>