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/>
  </bookViews>
  <sheets>
    <sheet name="F_Inputs" sheetId="7" r:id="rId1"/>
    <sheet name="Inputs" sheetId="6" r:id="rId2"/>
    <sheet name="Calcs" sheetId="5" r:id="rId3"/>
    <sheet name="Lists" sheetId="3" r:id="rId4"/>
    <sheet name="F_Outputs" sheetId="8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J51" i="7" l="1"/>
  <c r="H39" i="7"/>
  <c r="L6" i="8" l="1"/>
  <c r="L5" i="8"/>
  <c r="K6" i="8" l="1"/>
  <c r="J6" i="8"/>
  <c r="I6" i="8"/>
  <c r="H6" i="8"/>
  <c r="G6" i="8"/>
  <c r="F6" i="8"/>
  <c r="K5" i="8"/>
  <c r="J5" i="8"/>
  <c r="I5" i="8"/>
  <c r="H5" i="8"/>
  <c r="G5" i="8"/>
  <c r="F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W82" i="5" s="1"/>
  <c r="N86" i="5"/>
  <c r="N87" i="5"/>
  <c r="O89" i="5"/>
  <c r="P90" i="5"/>
  <c r="P77" i="5"/>
  <c r="N88" i="5"/>
  <c r="P94" i="5" l="1"/>
  <c r="O87" i="5"/>
  <c r="O88" i="5"/>
  <c r="P89" i="5"/>
  <c r="O86" i="5"/>
  <c r="J4" i="8" l="1"/>
  <c r="L4" i="8"/>
  <c r="P88" i="5"/>
  <c r="P86" i="5"/>
  <c r="P87" i="5"/>
  <c r="P92" i="5" l="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<sst xmlns="http://schemas.openxmlformats.org/spreadsheetml/2006/main" count="539" uniqueCount="197">
  <si>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</si>
  <si>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</si>
  <si>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</si>
  <si>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</si>
  <si>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</si>
  <si>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</si>
  <si>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</si>
  <si>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</si>
  <si>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</si>
  <si>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</si>
  <si>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</si>
  <si>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</si>
  <si>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</si>
  <si>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</si>
  <si>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</si>
  <si>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</si>
  <si>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</si>
  <si>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</si>
  <si>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</si>
  <si>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</si>
  <si>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</si>
  <si>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</si>
  <si>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</si>
  <si>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</si>
  <si>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</si>
  <si>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</si>
  <si>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</si>
  <si>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</si>
  <si>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</si>
  <si>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</si>
  <si>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</si>
  <si>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</si>
  <si>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</si>
  <si>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</si>
  <si>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</si>
  <si>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</si>
  <si>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</si>
  <si>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</si>
  <si>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</si>
  <si>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</si>
  <si>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</si>
  <si>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</si>
  <si>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</si>
  <si>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</si>
  <si>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</si>
  <si>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</si>
  <si>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</si>
  <si>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</si>
  <si>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</si>
  <si>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</si>
  <si>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</si>
  <si>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</si>
  <si>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</si>
  <si>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</si>
  <si>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</si>
  <si>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</si>
  <si>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</si>
  <si>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</si>
  <si>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</si>
  <si>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</si>
  <si>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</si>
  <si>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</si>
  <si>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</si>
  <si>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</si>
  <si>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</si>
  <si>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</si>
  <si>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</si>
  <si>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</si>
  <si>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</si>
  <si>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</si>
  <si>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</si>
  <si>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</si>
  <si>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</si>
  <si>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</si>
  <si>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</si>
  <si>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</si>
  <si>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</si>
  <si>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</si>
  <si>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</si>
  <si>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</si>
  <si>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</si>
  <si>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</si>
  <si>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</si>
  <si>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</si>
  <si>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</si>
  <si>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</si>
  <si>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</si>
  <si>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</si>
  <si>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</si>
  <si>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</si>
  <si>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</si>
  <si>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</si>
  <si>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</si>
  <si>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</si>
  <si>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</si>
  <si>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</si>
  <si>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</si>
  <si>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</si>
  <si>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</si>
  <si>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</si>
  <si>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</si>
  <si>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</si>
  <si>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</si>
  <si>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</si>
  <si>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</si>
  <si>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</si>
  <si>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</si>
  <si>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</si>
  <si>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</si>
  <si>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</si>
  <si>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</si>
  <si>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</si>
  <si>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</si>
  <si>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</si>
  <si>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</si>
  <si>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</si>
  <si>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</si>
  <si>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</si>
  <si>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</si>
  <si>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</si>
  <si>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</si>
  <si>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</si>
  <si>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</si>
  <si>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</si>
  <si>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</si>
  <si>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</si>
  <si>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</si>
  <si>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</si>
  <si>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</si>
  <si>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</si>
  <si>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</si>
  <si>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</si>
  <si>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</si>
  <si>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</si>
  <si>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</si>
  <si>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</si>
  <si>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</si>
  <si>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</si>
  <si>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</si>
  <si>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</si>
  <si>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</si>
  <si>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</si>
  <si>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</si>
  <si>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</si>
  <si>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</si>
  <si>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</si>
  <si>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</si>
  <si>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</si>
  <si>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</si>
  <si>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</si>
  <si>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</si>
  <si>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</si>
  <si>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</si>
  <si>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</si>
  <si>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</si>
  <si>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</si>
  <si>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</si>
  <si>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</si>
  <si>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</si>
  <si>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</si>
  <si>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</si>
  <si>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</si>
  <si>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</si>
  <si>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</si>
  <si>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</si>
  <si>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</si>
  <si>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</si>
  <si>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</si>
  <si>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</si>
  <si>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</si>
  <si>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</si>
  <si>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</si>
  <si>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</si>
  <si>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</si>
  <si>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</si>
  <si>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</si>
  <si>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</si>
  <si>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</si>
  <si>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</si>
  <si>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</si>
  <si>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</si>
  <si>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</si>
  <si>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</si>
  <si>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</si>
  <si>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</si>
  <si>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</si>
  <si>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</si>
  <si>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</si>
  <si>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</si>
  <si>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</si>
  <si>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</si>
  <si>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NES</t>
  </si>
  <si>
    <t>PR19PD008_OUT</t>
  </si>
  <si>
    <t>PR19 application</t>
  </si>
  <si>
    <t>PR19PD008_IN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</si>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</sst>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4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6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0" fontId="21" fillId="53" borderId="0">
      <alignment vertical="top"/>
    </xf>
    <xf numFmtId="178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0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0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1" fontId="68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109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2" fontId="48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172" fontId="21" fillId="0" borderId="0" applyFont="0" applyFill="0" applyBorder="0" applyProtection="0">
      <alignment vertical="top"/>
    </xf>
    <xf numFmtId="177" fontId="21" fillId="0" borderId="0" applyFont="0" applyFill="0" applyBorder="0" applyProtection="0">
      <alignment vertical="top"/>
    </xf>
    <xf numFmtId="170" fontId="21" fillId="0" borderId="0" applyFont="0" applyFill="0" applyBorder="0" applyProtection="0">
      <alignment vertical="top"/>
    </xf>
    <xf numFmtId="174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175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2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4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6" fontId="40" fillId="0" borderId="0" xfId="0" applyNumberFormat="1" applyFont="1"/>
    <xf numFmtId="166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4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6" fontId="8" fillId="0" borderId="0" xfId="0" applyNumberFormat="1" applyFont="1" applyBorder="1"/>
    <xf numFmtId="164" fontId="0" fillId="0" borderId="0" xfId="0" applyNumberFormat="1"/>
    <xf numFmtId="164" fontId="40" fillId="0" borderId="0" xfId="0" applyNumberFormat="1" applyFont="1"/>
    <xf numFmtId="164" fontId="49" fillId="45" borderId="19" xfId="0" applyNumberFormat="1" applyFont="1" applyFill="1" applyBorder="1" applyAlignment="1">
      <alignment horizontal="left" vertical="center"/>
    </xf>
    <xf numFmtId="164" fontId="40" fillId="0" borderId="0" xfId="0" applyNumberFormat="1" applyFont="1" applyFill="1"/>
    <xf numFmtId="164" fontId="8" fillId="0" borderId="0" xfId="0" applyNumberFormat="1" applyFont="1" applyBorder="1"/>
    <xf numFmtId="164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4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4" fontId="40" fillId="0" borderId="0" xfId="0" applyNumberFormat="1" applyFont="1" applyBorder="1"/>
    <xf numFmtId="164" fontId="40" fillId="0" borderId="0" xfId="0" applyNumberFormat="1" applyFont="1" applyFill="1" applyBorder="1"/>
    <xf numFmtId="164" fontId="40" fillId="0" borderId="24" xfId="0" applyNumberFormat="1" applyFont="1" applyFill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4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164" fontId="40" fillId="55" borderId="14" xfId="46" applyNumberFormat="1" applyFont="1" applyFill="1"/>
    <xf numFmtId="164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4" fontId="4" fillId="0" borderId="0" xfId="0" applyNumberFormat="1" applyFont="1" applyFill="1"/>
    <xf numFmtId="167" fontId="40" fillId="0" borderId="0" xfId="83" applyNumberFormat="1" applyFont="1" applyFill="1"/>
    <xf numFmtId="0" fontId="0" fillId="56" borderId="0" xfId="0" applyFill="1"/>
    <xf numFmtId="164" fontId="47" fillId="0" borderId="14" xfId="0" applyNumberFormat="1" applyFont="1" applyFill="1" applyBorder="1"/>
    <xf numFmtId="164" fontId="8" fillId="0" borderId="0" xfId="0" applyNumberFormat="1" applyFont="1" applyFill="1" applyBorder="1"/>
    <xf numFmtId="164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4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8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7" fillId="0" borderId="14" xfId="0" applyNumberFormat="1" applyFont="1" applyBorder="1"/>
    <xf numFmtId="165" fontId="40" fillId="0" borderId="0" xfId="46" applyNumberFormat="1" applyFont="1" applyFill="1" applyBorder="1"/>
    <xf numFmtId="165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2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0" fontId="4" fillId="33" borderId="14" xfId="46" applyNumberFormat="1" applyFont="1"/>
    <xf numFmtId="166" fontId="47" fillId="0" borderId="14" xfId="0" applyNumberFormat="1" applyFont="1" applyBorder="1"/>
    <xf numFmtId="3" fontId="0" fillId="52" borderId="0" xfId="0" applyNumberFormat="1" applyFill="1"/>
    <xf numFmtId="168" fontId="0" fillId="52" borderId="0" xfId="0" applyNumberForma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3 9" xfId="10891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>
      <selection activeCell="H27" sqref="H27"/>
    </sheetView>
  </sheetViews>
  <sheetFormatPr defaultColWidth="10.140625" defaultRowHeight="12.75"/>
  <cols>
    <col min="1" max="1" width="4.140625" customWidth="1"/>
    <col min="2" max="2" width="6" customWidth="1"/>
    <col min="3" max="3" width="54.140625" customWidth="1"/>
    <col min="4" max="4" width="2.7109375" customWidth="1"/>
    <col min="5" max="5" width="15.85546875" customWidth="1"/>
    <col min="6" max="10" width="19.28515625" customWidth="1"/>
    <col min="11" max="11" width="13.7109375" customWidth="1"/>
  </cols>
  <sheetData>
    <row r="1" spans="1:11">
      <c r="C1" t="s">
        <v>194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1">
        <v>304312</v>
      </c>
      <c r="G7" s="91">
        <v>291659</v>
      </c>
      <c r="H7" s="91">
        <v>278531</v>
      </c>
      <c r="I7" s="91">
        <v>265410</v>
      </c>
      <c r="J7" s="91">
        <v>252823</v>
      </c>
      <c r="K7" s="91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1">
        <v>33731</v>
      </c>
      <c r="G8" s="91">
        <v>33009</v>
      </c>
      <c r="H8" s="91">
        <v>32287</v>
      </c>
      <c r="I8" s="91">
        <v>31565</v>
      </c>
      <c r="J8" s="91">
        <v>30843</v>
      </c>
      <c r="K8" s="91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1">
        <v>721729</v>
      </c>
      <c r="G9" s="91">
        <v>706494</v>
      </c>
      <c r="H9" s="91">
        <v>691259</v>
      </c>
      <c r="I9" s="91">
        <v>676024</v>
      </c>
      <c r="J9" s="91">
        <v>660788</v>
      </c>
      <c r="K9" s="91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1">
        <v>427694</v>
      </c>
      <c r="G10" s="91">
        <v>444283</v>
      </c>
      <c r="H10" s="91">
        <v>461401</v>
      </c>
      <c r="I10" s="91">
        <v>478727</v>
      </c>
      <c r="J10" s="91">
        <v>495712</v>
      </c>
      <c r="K10" s="91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1">
        <v>35267</v>
      </c>
      <c r="G11" s="91">
        <v>37325</v>
      </c>
      <c r="H11" s="91">
        <v>39396</v>
      </c>
      <c r="I11" s="91">
        <v>41471</v>
      </c>
      <c r="J11" s="91">
        <v>43557</v>
      </c>
      <c r="K11" s="91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1">
        <v>340822</v>
      </c>
      <c r="G12" s="91">
        <v>361305</v>
      </c>
      <c r="H12" s="91">
        <v>381925</v>
      </c>
      <c r="I12" s="91">
        <v>402580</v>
      </c>
      <c r="J12" s="91">
        <v>423358</v>
      </c>
      <c r="K12" s="91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1">
        <v>306913</v>
      </c>
      <c r="G13" s="91">
        <v>299927</v>
      </c>
      <c r="H13" s="91">
        <v>289668</v>
      </c>
      <c r="I13" s="91">
        <v>279860</v>
      </c>
      <c r="J13" s="110">
        <v>273929</v>
      </c>
      <c r="K13" s="91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1">
        <v>34683</v>
      </c>
      <c r="G14" s="91">
        <v>33391</v>
      </c>
      <c r="H14" s="91">
        <v>32775</v>
      </c>
      <c r="I14" s="91">
        <v>31680.919403295102</v>
      </c>
      <c r="J14" s="110">
        <v>30806</v>
      </c>
      <c r="K14" s="91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1">
        <v>720347</v>
      </c>
      <c r="G15" s="91">
        <v>709864</v>
      </c>
      <c r="H15" s="91">
        <v>692246</v>
      </c>
      <c r="I15" s="91">
        <v>669910</v>
      </c>
      <c r="J15" s="110">
        <v>657680</v>
      </c>
      <c r="K15" s="91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1">
        <v>426488.014359102</v>
      </c>
      <c r="G16" s="91">
        <v>439887</v>
      </c>
      <c r="H16" s="91">
        <v>453445</v>
      </c>
      <c r="I16" s="91">
        <v>467872.83979070402</v>
      </c>
      <c r="J16" s="110">
        <v>503436</v>
      </c>
      <c r="K16" s="91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1">
        <v>30923</v>
      </c>
      <c r="G17" s="91">
        <v>32700.372626435699</v>
      </c>
      <c r="H17" s="91">
        <v>33097.3154112634</v>
      </c>
      <c r="I17" s="91">
        <v>34663.1863916937</v>
      </c>
      <c r="J17" s="110">
        <v>39317</v>
      </c>
      <c r="K17" s="91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1">
        <v>343438</v>
      </c>
      <c r="G18" s="91">
        <v>362756.627373564</v>
      </c>
      <c r="H18" s="91">
        <v>382261.68458873697</v>
      </c>
      <c r="I18" s="91">
        <v>406809.06212196202</v>
      </c>
      <c r="J18" s="110">
        <v>425523</v>
      </c>
      <c r="K18" s="91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1">
        <v>309704</v>
      </c>
      <c r="G19" s="91">
        <v>300566</v>
      </c>
      <c r="H19" s="91">
        <v>291119</v>
      </c>
      <c r="I19" s="110">
        <v>281743</v>
      </c>
      <c r="J19" s="110">
        <v>273929</v>
      </c>
      <c r="K19" s="91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1">
        <v>33780</v>
      </c>
      <c r="G20" s="91">
        <v>33590</v>
      </c>
      <c r="H20" s="91">
        <v>32777</v>
      </c>
      <c r="I20" s="110">
        <v>29460</v>
      </c>
      <c r="J20" s="110">
        <v>30806</v>
      </c>
      <c r="K20" s="91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1">
        <v>720499</v>
      </c>
      <c r="G21" s="91">
        <v>703913</v>
      </c>
      <c r="H21" s="91">
        <v>686371</v>
      </c>
      <c r="I21" s="110">
        <v>673931</v>
      </c>
      <c r="J21" s="110">
        <v>657680</v>
      </c>
      <c r="K21" s="91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1">
        <v>424067</v>
      </c>
      <c r="G22" s="91">
        <v>436901</v>
      </c>
      <c r="H22" s="91">
        <v>450182</v>
      </c>
      <c r="I22" s="110">
        <v>483820</v>
      </c>
      <c r="J22" s="110">
        <v>503436</v>
      </c>
      <c r="K22" s="91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1">
        <v>31498</v>
      </c>
      <c r="G23" s="91">
        <v>32275</v>
      </c>
      <c r="H23" s="91">
        <v>33038</v>
      </c>
      <c r="I23" s="110">
        <v>37326</v>
      </c>
      <c r="J23" s="110">
        <v>39317</v>
      </c>
      <c r="K23" s="91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1">
        <v>341115</v>
      </c>
      <c r="G24" s="91">
        <v>361835</v>
      </c>
      <c r="H24" s="91">
        <v>385005</v>
      </c>
      <c r="I24" s="110">
        <v>403952</v>
      </c>
      <c r="J24" s="110">
        <v>425523</v>
      </c>
      <c r="K24" s="91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2">
        <v>7.6139999999999999</v>
      </c>
      <c r="G25" s="92">
        <v>7.4580000000000002</v>
      </c>
      <c r="H25" s="92">
        <v>7.39</v>
      </c>
      <c r="I25" s="111">
        <v>7.0890000000000004</v>
      </c>
      <c r="J25" s="111">
        <v>6.9249999999999998</v>
      </c>
      <c r="K25" s="92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2">
        <v>0.35099999999999998</v>
      </c>
      <c r="G26" s="92">
        <v>0.40600000000000003</v>
      </c>
      <c r="H26" s="92">
        <v>0.41699999999999998</v>
      </c>
      <c r="I26" s="111">
        <v>0.74099999999999999</v>
      </c>
      <c r="J26" s="111">
        <v>0.77900000000000003</v>
      </c>
      <c r="K26" s="92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2">
        <v>23.295999999999999</v>
      </c>
      <c r="G27" s="92">
        <v>23.259</v>
      </c>
      <c r="H27" s="92">
        <v>22.800999999999998</v>
      </c>
      <c r="I27" s="111">
        <v>22.036999999999999</v>
      </c>
      <c r="J27" s="111">
        <v>21.61</v>
      </c>
      <c r="K27" s="92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2">
        <v>11.973000000000001</v>
      </c>
      <c r="G28" s="92">
        <v>12.13</v>
      </c>
      <c r="H28" s="92">
        <v>12.263999999999999</v>
      </c>
      <c r="I28" s="111">
        <v>13.61</v>
      </c>
      <c r="J28" s="111">
        <v>14.227</v>
      </c>
      <c r="K28" s="92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2">
        <v>0.42199999999999999</v>
      </c>
      <c r="G29" s="92">
        <v>0.48899999999999999</v>
      </c>
      <c r="H29" s="92">
        <v>0.44500000000000001</v>
      </c>
      <c r="I29" s="111">
        <v>1.05</v>
      </c>
      <c r="J29" s="111">
        <v>1.1120000000000001</v>
      </c>
      <c r="K29" s="92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2">
        <v>13.484999999999999</v>
      </c>
      <c r="G30" s="92">
        <v>14.209</v>
      </c>
      <c r="H30" s="92">
        <v>15.458</v>
      </c>
      <c r="I30" s="111">
        <v>15.612</v>
      </c>
      <c r="J30" s="111">
        <v>16.518999999999998</v>
      </c>
      <c r="K30" s="92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2">
        <v>7.6139999999999999</v>
      </c>
      <c r="G37" s="92">
        <v>7.4580000000000002</v>
      </c>
      <c r="H37" s="92">
        <v>7.3900084696328596</v>
      </c>
      <c r="I37" s="111">
        <v>7.0890000000000004</v>
      </c>
      <c r="J37" s="111">
        <v>6.9249999999999998</v>
      </c>
      <c r="K37" s="92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2">
        <v>0.35099999999999998</v>
      </c>
      <c r="G38" s="92">
        <v>0.40600000000000003</v>
      </c>
      <c r="H38" s="92">
        <v>0.41723642210944001</v>
      </c>
      <c r="I38" s="111">
        <v>0.74099999999999999</v>
      </c>
      <c r="J38" s="111">
        <v>0.77900000000000003</v>
      </c>
      <c r="K38" s="92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2">
        <v>23.295999999999999</v>
      </c>
      <c r="G39" s="92">
        <v>23.259</v>
      </c>
      <c r="H39" s="92">
        <f>+H27</f>
        <v>22.800999999999998</v>
      </c>
      <c r="I39" s="111">
        <v>22.036999999999999</v>
      </c>
      <c r="J39" s="111">
        <v>21.61</v>
      </c>
      <c r="K39" s="92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2">
        <v>11.973000000000001</v>
      </c>
      <c r="G40" s="92">
        <v>12.13</v>
      </c>
      <c r="H40" s="92">
        <v>12.2637124466226</v>
      </c>
      <c r="I40" s="111">
        <v>13.61</v>
      </c>
      <c r="J40" s="111">
        <v>14.227</v>
      </c>
      <c r="K40" s="92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2">
        <v>0.42199999999999999</v>
      </c>
      <c r="G41" s="92">
        <v>0.48899999999999999</v>
      </c>
      <c r="H41" s="92">
        <v>0.44489729325559502</v>
      </c>
      <c r="I41" s="111">
        <v>1.05</v>
      </c>
      <c r="J41" s="111">
        <v>1.1120000000000001</v>
      </c>
      <c r="K41" s="92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2">
        <v>13.484999999999999</v>
      </c>
      <c r="G42" s="92">
        <v>14.209</v>
      </c>
      <c r="H42" s="92">
        <v>15.457556195100301</v>
      </c>
      <c r="I42" s="111">
        <v>15.612</v>
      </c>
      <c r="J42" s="111">
        <v>16.518999999999998</v>
      </c>
      <c r="K42" s="92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3">
        <v>24.5954977417652</v>
      </c>
      <c r="G43" s="93">
        <v>24.867616176748601</v>
      </c>
      <c r="H43" s="93">
        <v>25.025299682297501</v>
      </c>
      <c r="I43" s="93">
        <v>25.1575278520653</v>
      </c>
      <c r="J43" s="93">
        <v>25.275933410111801</v>
      </c>
      <c r="K43" s="93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3">
        <v>24.5954977417652</v>
      </c>
      <c r="G44" s="93">
        <v>24.867616176748601</v>
      </c>
      <c r="H44" s="93">
        <v>25.025299682297501</v>
      </c>
      <c r="I44" s="93">
        <v>25.1575278520653</v>
      </c>
      <c r="J44" s="93">
        <v>25.275933410111801</v>
      </c>
      <c r="K44" s="93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3">
        <v>31.974147064294801</v>
      </c>
      <c r="G45" s="93">
        <v>32.327901029773102</v>
      </c>
      <c r="H45" s="93">
        <v>32.532889586986798</v>
      </c>
      <c r="I45" s="93">
        <v>32.704786207684897</v>
      </c>
      <c r="J45" s="93">
        <v>32.858713433145397</v>
      </c>
      <c r="K45" s="93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3">
        <v>27.546130668649301</v>
      </c>
      <c r="G46" s="93">
        <v>27.823934754016399</v>
      </c>
      <c r="H46" s="93">
        <v>27.9906967716251</v>
      </c>
      <c r="I46" s="93">
        <v>28.130283624768801</v>
      </c>
      <c r="J46" s="93">
        <v>28.2556348055857</v>
      </c>
      <c r="K46" s="93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3">
        <v>27.561658079736599</v>
      </c>
      <c r="G47" s="93">
        <v>27.824954532424499</v>
      </c>
      <c r="H47" s="93">
        <v>27.9762451303551</v>
      </c>
      <c r="I47" s="93">
        <v>28.129820791195201</v>
      </c>
      <c r="J47" s="93">
        <v>28.267346936180001</v>
      </c>
      <c r="K47" s="93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3">
        <v>37.877599835727501</v>
      </c>
      <c r="G48" s="93">
        <v>38.240619090793402</v>
      </c>
      <c r="H48" s="93">
        <v>38.4627070441502</v>
      </c>
      <c r="I48" s="93">
        <v>38.6475588609336</v>
      </c>
      <c r="J48" s="93">
        <v>38.815129113904398</v>
      </c>
      <c r="K48" s="93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4"/>
      <c r="G49" s="94"/>
      <c r="H49" s="94"/>
      <c r="I49" s="94"/>
      <c r="J49" s="94"/>
      <c r="K49" s="94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4"/>
      <c r="G50" s="94"/>
      <c r="H50" s="94"/>
      <c r="I50" s="94"/>
      <c r="J50" s="94"/>
      <c r="K50" s="94">
        <v>3.5999999999999997E-2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2"/>
      <c r="G51" s="92"/>
      <c r="H51" s="92"/>
      <c r="I51" s="92"/>
      <c r="J51" s="111">
        <f>+F_Outputs!L4</f>
        <v>-0.18915375291445063</v>
      </c>
      <c r="K51" s="92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2"/>
      <c r="G52" s="92"/>
      <c r="H52" s="92"/>
      <c r="I52" s="92"/>
      <c r="J52" s="111">
        <v>-0.18001896984318383</v>
      </c>
      <c r="K52" s="9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29" activePane="bottomRight" state="frozen"/>
      <selection pane="topRight"/>
      <selection pane="bottomLeft"/>
      <selection pane="bottomRight" activeCell="P20" sqref="P20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56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29"/>
      <c r="B1" s="29"/>
      <c r="C1" s="29"/>
      <c r="D1" s="29" t="s">
        <v>28</v>
      </c>
      <c r="E1" s="29"/>
      <c r="F1" s="55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9"/>
      <c r="B8" s="13"/>
      <c r="C8" s="13"/>
      <c r="D8" s="32"/>
      <c r="E8" s="10" t="s">
        <v>24</v>
      </c>
      <c r="F8" s="57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3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1">
        <f xml:space="preserve"> F_Inputs!F7</f>
        <v>304312</v>
      </c>
      <c r="M12" s="71">
        <f xml:space="preserve"> F_Inputs!G7</f>
        <v>291659</v>
      </c>
      <c r="N12" s="71">
        <f xml:space="preserve"> F_Inputs!H7</f>
        <v>278531</v>
      </c>
      <c r="O12" s="71">
        <f xml:space="preserve"> F_Inputs!I7</f>
        <v>265410</v>
      </c>
      <c r="P12" s="71">
        <f xml:space="preserve"> F_Inputs!J7</f>
        <v>252823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3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1">
        <f xml:space="preserve"> F_Inputs!F8</f>
        <v>33731</v>
      </c>
      <c r="M13" s="71">
        <f xml:space="preserve"> F_Inputs!G8</f>
        <v>33009</v>
      </c>
      <c r="N13" s="71">
        <f xml:space="preserve"> F_Inputs!H8</f>
        <v>32287</v>
      </c>
      <c r="O13" s="71">
        <f xml:space="preserve"> F_Inputs!I8</f>
        <v>31565</v>
      </c>
      <c r="P13" s="71">
        <f xml:space="preserve"> F_Inputs!J8</f>
        <v>30843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3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1">
        <f xml:space="preserve"> F_Inputs!F9</f>
        <v>721729</v>
      </c>
      <c r="M14" s="71">
        <f xml:space="preserve"> F_Inputs!G9</f>
        <v>706494</v>
      </c>
      <c r="N14" s="71">
        <f xml:space="preserve"> F_Inputs!H9</f>
        <v>691259</v>
      </c>
      <c r="O14" s="71">
        <f xml:space="preserve"> F_Inputs!I9</f>
        <v>676024</v>
      </c>
      <c r="P14" s="71">
        <f xml:space="preserve"> F_Inputs!J9</f>
        <v>660788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3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1">
        <f xml:space="preserve"> F_Inputs!F10</f>
        <v>427694</v>
      </c>
      <c r="M15" s="71">
        <f xml:space="preserve"> F_Inputs!G10</f>
        <v>444283</v>
      </c>
      <c r="N15" s="71">
        <f xml:space="preserve"> F_Inputs!H10</f>
        <v>461401</v>
      </c>
      <c r="O15" s="71">
        <f xml:space="preserve"> F_Inputs!I10</f>
        <v>478727</v>
      </c>
      <c r="P15" s="71">
        <f xml:space="preserve"> F_Inputs!J10</f>
        <v>495712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3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1">
        <f xml:space="preserve"> F_Inputs!F11</f>
        <v>35267</v>
      </c>
      <c r="M16" s="71">
        <f xml:space="preserve"> F_Inputs!G11</f>
        <v>37325</v>
      </c>
      <c r="N16" s="71">
        <f xml:space="preserve"> F_Inputs!H11</f>
        <v>39396</v>
      </c>
      <c r="O16" s="71">
        <f xml:space="preserve"> F_Inputs!I11</f>
        <v>41471</v>
      </c>
      <c r="P16" s="71">
        <f xml:space="preserve"> F_Inputs!J11</f>
        <v>43557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3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1">
        <f xml:space="preserve"> F_Inputs!F12</f>
        <v>340822</v>
      </c>
      <c r="M17" s="71">
        <f xml:space="preserve"> F_Inputs!G12</f>
        <v>361305</v>
      </c>
      <c r="N17" s="71">
        <f xml:space="preserve"> F_Inputs!H12</f>
        <v>381925</v>
      </c>
      <c r="O17" s="71">
        <f xml:space="preserve"> F_Inputs!I12</f>
        <v>402580</v>
      </c>
      <c r="P17" s="71">
        <f xml:space="preserve"> F_Inputs!J12</f>
        <v>423358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3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1">
        <f xml:space="preserve"> F_Inputs!F13</f>
        <v>306913</v>
      </c>
      <c r="M20" s="71">
        <f xml:space="preserve"> F_Inputs!G13</f>
        <v>299927</v>
      </c>
      <c r="N20" s="71">
        <f xml:space="preserve"> F_Inputs!H13</f>
        <v>289668</v>
      </c>
      <c r="O20" s="71">
        <f xml:space="preserve"> F_Inputs!I13</f>
        <v>279860</v>
      </c>
      <c r="P20" s="71">
        <f xml:space="preserve"> F_Inputs!J13</f>
        <v>273929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3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1">
        <f xml:space="preserve"> F_Inputs!F14</f>
        <v>34683</v>
      </c>
      <c r="M21" s="71">
        <f xml:space="preserve"> F_Inputs!G14</f>
        <v>33391</v>
      </c>
      <c r="N21" s="71">
        <f xml:space="preserve"> F_Inputs!H14</f>
        <v>32775</v>
      </c>
      <c r="O21" s="71">
        <f xml:space="preserve"> F_Inputs!I14</f>
        <v>31680.919403295102</v>
      </c>
      <c r="P21" s="71">
        <f xml:space="preserve"> F_Inputs!J14</f>
        <v>30806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3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1">
        <f xml:space="preserve"> F_Inputs!F15</f>
        <v>720347</v>
      </c>
      <c r="M22" s="71">
        <f xml:space="preserve"> F_Inputs!G15</f>
        <v>709864</v>
      </c>
      <c r="N22" s="71">
        <f xml:space="preserve"> F_Inputs!H15</f>
        <v>692246</v>
      </c>
      <c r="O22" s="71">
        <f xml:space="preserve"> F_Inputs!I15</f>
        <v>669910</v>
      </c>
      <c r="P22" s="71">
        <f xml:space="preserve"> F_Inputs!J15</f>
        <v>657680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3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1">
        <f xml:space="preserve"> F_Inputs!F16</f>
        <v>426488.014359102</v>
      </c>
      <c r="M23" s="71">
        <f xml:space="preserve"> F_Inputs!G16</f>
        <v>439887</v>
      </c>
      <c r="N23" s="71">
        <f xml:space="preserve"> F_Inputs!H16</f>
        <v>453445</v>
      </c>
      <c r="O23" s="71">
        <f xml:space="preserve"> F_Inputs!I16</f>
        <v>467872.83979070402</v>
      </c>
      <c r="P23" s="71">
        <f xml:space="preserve"> F_Inputs!J16</f>
        <v>503436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3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1">
        <f xml:space="preserve"> F_Inputs!F17</f>
        <v>30923</v>
      </c>
      <c r="M24" s="71">
        <f xml:space="preserve"> F_Inputs!G17</f>
        <v>32700.372626435699</v>
      </c>
      <c r="N24" s="71">
        <f xml:space="preserve"> F_Inputs!H17</f>
        <v>33097.3154112634</v>
      </c>
      <c r="O24" s="71">
        <f xml:space="preserve"> F_Inputs!I17</f>
        <v>34663.1863916937</v>
      </c>
      <c r="P24" s="71">
        <f xml:space="preserve"> F_Inputs!J17</f>
        <v>39317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3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1">
        <f xml:space="preserve"> F_Inputs!F18</f>
        <v>343438</v>
      </c>
      <c r="M25" s="71">
        <f xml:space="preserve"> F_Inputs!G18</f>
        <v>362756.627373564</v>
      </c>
      <c r="N25" s="71">
        <f xml:space="preserve"> F_Inputs!H18</f>
        <v>382261.68458873697</v>
      </c>
      <c r="O25" s="71">
        <f xml:space="preserve"> F_Inputs!I18</f>
        <v>406809.06212196202</v>
      </c>
      <c r="P25" s="71">
        <f xml:space="preserve"> F_Inputs!J18</f>
        <v>425523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3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3">
        <f xml:space="preserve"> F_Inputs!F19</f>
        <v>309704</v>
      </c>
      <c r="M28" s="73">
        <f xml:space="preserve"> F_Inputs!G19</f>
        <v>300566</v>
      </c>
      <c r="N28" s="73">
        <f xml:space="preserve"> F_Inputs!H19</f>
        <v>291119</v>
      </c>
      <c r="O28" s="73">
        <f xml:space="preserve"> F_Inputs!I19</f>
        <v>281743</v>
      </c>
      <c r="P28" s="73">
        <f xml:space="preserve"> F_Inputs!J19</f>
        <v>273929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3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3">
        <f xml:space="preserve"> F_Inputs!F20</f>
        <v>33780</v>
      </c>
      <c r="M29" s="73">
        <f xml:space="preserve"> F_Inputs!G20</f>
        <v>33590</v>
      </c>
      <c r="N29" s="73">
        <f xml:space="preserve"> F_Inputs!H20</f>
        <v>32777</v>
      </c>
      <c r="O29" s="73">
        <f xml:space="preserve"> F_Inputs!I20</f>
        <v>29460</v>
      </c>
      <c r="P29" s="73">
        <f xml:space="preserve"> F_Inputs!J20</f>
        <v>30806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3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3">
        <f xml:space="preserve"> F_Inputs!F21</f>
        <v>720499</v>
      </c>
      <c r="M30" s="73">
        <f xml:space="preserve"> F_Inputs!G21</f>
        <v>703913</v>
      </c>
      <c r="N30" s="73">
        <f xml:space="preserve"> F_Inputs!H21</f>
        <v>686371</v>
      </c>
      <c r="O30" s="73">
        <f xml:space="preserve"> F_Inputs!I21</f>
        <v>673931</v>
      </c>
      <c r="P30" s="73">
        <f xml:space="preserve"> F_Inputs!J21</f>
        <v>657680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3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3">
        <f xml:space="preserve"> F_Inputs!F22</f>
        <v>424067</v>
      </c>
      <c r="M31" s="73">
        <f xml:space="preserve"> F_Inputs!G22</f>
        <v>436901</v>
      </c>
      <c r="N31" s="73">
        <f xml:space="preserve"> F_Inputs!H22</f>
        <v>450182</v>
      </c>
      <c r="O31" s="73">
        <f xml:space="preserve"> F_Inputs!I22</f>
        <v>483820</v>
      </c>
      <c r="P31" s="73">
        <f xml:space="preserve"> F_Inputs!J22</f>
        <v>503436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3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3">
        <f xml:space="preserve"> F_Inputs!F23</f>
        <v>31498</v>
      </c>
      <c r="M32" s="73">
        <f xml:space="preserve"> F_Inputs!G23</f>
        <v>32275</v>
      </c>
      <c r="N32" s="73">
        <f xml:space="preserve"> F_Inputs!H23</f>
        <v>33038</v>
      </c>
      <c r="O32" s="73">
        <f xml:space="preserve"> F_Inputs!I23</f>
        <v>37326</v>
      </c>
      <c r="P32" s="73">
        <f xml:space="preserve"> F_Inputs!J23</f>
        <v>39317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3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3">
        <f xml:space="preserve"> F_Inputs!F24</f>
        <v>341115</v>
      </c>
      <c r="M33" s="73">
        <f xml:space="preserve"> F_Inputs!G24</f>
        <v>361835</v>
      </c>
      <c r="N33" s="73">
        <f xml:space="preserve"> F_Inputs!H24</f>
        <v>385005</v>
      </c>
      <c r="O33" s="73">
        <f xml:space="preserve"> F_Inputs!I24</f>
        <v>403952</v>
      </c>
      <c r="P33" s="73">
        <f xml:space="preserve"> F_Inputs!J24</f>
        <v>425523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5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5"/>
      <c r="D36" s="53" t="s">
        <v>49</v>
      </c>
      <c r="E36" s="45" t="str">
        <f t="shared" ref="E36:E41" si="5">INDEX(Customer.List,A36)</f>
        <v>Unmetered water-only customer</v>
      </c>
      <c r="F36" s="58" t="s">
        <v>44</v>
      </c>
      <c r="G36" s="18"/>
      <c r="H36" s="18"/>
      <c r="I36" s="18"/>
      <c r="J36" s="18"/>
      <c r="K36" s="18"/>
      <c r="L36" s="73">
        <f xml:space="preserve"> F_Inputs!F25</f>
        <v>7.6139999999999999</v>
      </c>
      <c r="M36" s="73">
        <f xml:space="preserve"> F_Inputs!G25</f>
        <v>7.4580000000000002</v>
      </c>
      <c r="N36" s="73">
        <f xml:space="preserve"> F_Inputs!H25</f>
        <v>7.39</v>
      </c>
      <c r="O36" s="73">
        <f xml:space="preserve"> F_Inputs!I25</f>
        <v>7.0890000000000004</v>
      </c>
      <c r="P36" s="73">
        <f xml:space="preserve"> F_Inputs!J25</f>
        <v>6.9249999999999998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5"/>
      <c r="D37" s="53" t="s">
        <v>49</v>
      </c>
      <c r="E37" s="45" t="str">
        <f t="shared" si="5"/>
        <v>Unmetered wastewater-only customer</v>
      </c>
      <c r="F37" s="58" t="s">
        <v>44</v>
      </c>
      <c r="G37" s="18"/>
      <c r="H37" s="18"/>
      <c r="I37" s="18"/>
      <c r="J37" s="18"/>
      <c r="K37" s="18"/>
      <c r="L37" s="73">
        <f xml:space="preserve"> F_Inputs!F26</f>
        <v>0.35099999999999998</v>
      </c>
      <c r="M37" s="73">
        <f xml:space="preserve"> F_Inputs!G26</f>
        <v>0.40600000000000003</v>
      </c>
      <c r="N37" s="73">
        <f xml:space="preserve"> F_Inputs!H26</f>
        <v>0.41699999999999998</v>
      </c>
      <c r="O37" s="73">
        <f xml:space="preserve"> F_Inputs!I26</f>
        <v>0.74099999999999999</v>
      </c>
      <c r="P37" s="73">
        <f xml:space="preserve"> F_Inputs!J26</f>
        <v>0.77900000000000003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5"/>
      <c r="D38" s="53" t="s">
        <v>49</v>
      </c>
      <c r="E38" s="45" t="str">
        <f t="shared" si="5"/>
        <v>Unmetered water and wastewater customer</v>
      </c>
      <c r="F38" s="58" t="s">
        <v>44</v>
      </c>
      <c r="G38" s="18"/>
      <c r="H38" s="18"/>
      <c r="I38" s="18"/>
      <c r="J38" s="18"/>
      <c r="K38" s="18"/>
      <c r="L38" s="73">
        <f xml:space="preserve"> F_Inputs!F27</f>
        <v>23.295999999999999</v>
      </c>
      <c r="M38" s="73">
        <f xml:space="preserve"> F_Inputs!G27</f>
        <v>23.259</v>
      </c>
      <c r="N38" s="73">
        <f xml:space="preserve"> F_Inputs!H27</f>
        <v>22.800999999999998</v>
      </c>
      <c r="O38" s="73">
        <f xml:space="preserve"> F_Inputs!I27</f>
        <v>22.036999999999999</v>
      </c>
      <c r="P38" s="73">
        <f xml:space="preserve"> F_Inputs!J27</f>
        <v>21.61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5"/>
      <c r="D39" s="53" t="s">
        <v>49</v>
      </c>
      <c r="E39" s="45" t="str">
        <f t="shared" si="5"/>
        <v>Metered water-only customer</v>
      </c>
      <c r="F39" s="58" t="s">
        <v>44</v>
      </c>
      <c r="G39" s="18"/>
      <c r="H39" s="18"/>
      <c r="I39" s="18"/>
      <c r="K39" s="18"/>
      <c r="L39" s="73">
        <f xml:space="preserve"> F_Inputs!F28</f>
        <v>11.973000000000001</v>
      </c>
      <c r="M39" s="73">
        <f xml:space="preserve"> F_Inputs!G28</f>
        <v>12.13</v>
      </c>
      <c r="N39" s="73">
        <f xml:space="preserve"> F_Inputs!H28</f>
        <v>12.263999999999999</v>
      </c>
      <c r="O39" s="73">
        <f xml:space="preserve"> F_Inputs!I28</f>
        <v>13.61</v>
      </c>
      <c r="P39" s="73">
        <f xml:space="preserve"> F_Inputs!J28</f>
        <v>14.227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5"/>
      <c r="D40" s="53" t="s">
        <v>49</v>
      </c>
      <c r="E40" s="45" t="str">
        <f t="shared" si="5"/>
        <v>Metered wastewater-only customer</v>
      </c>
      <c r="F40" s="58" t="s">
        <v>44</v>
      </c>
      <c r="G40" s="18"/>
      <c r="H40" s="18"/>
      <c r="I40" s="18"/>
      <c r="J40" s="18"/>
      <c r="K40" s="18"/>
      <c r="L40" s="73">
        <f xml:space="preserve"> F_Inputs!F29</f>
        <v>0.42199999999999999</v>
      </c>
      <c r="M40" s="73">
        <f xml:space="preserve"> F_Inputs!G29</f>
        <v>0.48899999999999999</v>
      </c>
      <c r="N40" s="73">
        <f xml:space="preserve"> F_Inputs!H29</f>
        <v>0.44500000000000001</v>
      </c>
      <c r="O40" s="73">
        <f xml:space="preserve"> F_Inputs!I29</f>
        <v>1.05</v>
      </c>
      <c r="P40" s="73">
        <f xml:space="preserve"> F_Inputs!J29</f>
        <v>1.1120000000000001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5"/>
      <c r="D41" s="53" t="s">
        <v>49</v>
      </c>
      <c r="E41" s="45" t="str">
        <f t="shared" si="5"/>
        <v>Metered water and wastewater customer</v>
      </c>
      <c r="F41" s="58" t="s">
        <v>44</v>
      </c>
      <c r="G41" s="18"/>
      <c r="H41" s="18"/>
      <c r="I41" s="18"/>
      <c r="J41" s="18"/>
      <c r="K41" s="18"/>
      <c r="L41" s="73">
        <f xml:space="preserve"> F_Inputs!F30</f>
        <v>13.484999999999999</v>
      </c>
      <c r="M41" s="73">
        <f xml:space="preserve"> F_Inputs!G30</f>
        <v>14.209</v>
      </c>
      <c r="N41" s="73">
        <f xml:space="preserve"> F_Inputs!H30</f>
        <v>15.458</v>
      </c>
      <c r="O41" s="73">
        <f xml:space="preserve"> F_Inputs!I30</f>
        <v>15.612</v>
      </c>
      <c r="P41" s="73">
        <f xml:space="preserve"> F_Inputs!J30</f>
        <v>16.518999999999998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5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5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5"/>
      <c r="D44" s="53" t="s">
        <v>49</v>
      </c>
      <c r="E44" s="45" t="str">
        <f t="shared" ref="E44:E49" si="6">INDEX(Customer.List,A44)</f>
        <v>Unmetered water-only customer</v>
      </c>
      <c r="F44" s="58" t="s">
        <v>44</v>
      </c>
      <c r="G44" s="18"/>
      <c r="H44" s="18"/>
      <c r="I44" s="18"/>
      <c r="J44" s="18"/>
      <c r="K44" s="18"/>
      <c r="L44" s="73">
        <f xml:space="preserve"> F_Inputs!F31</f>
        <v>0</v>
      </c>
      <c r="M44" s="73">
        <f xml:space="preserve"> F_Inputs!G31</f>
        <v>0</v>
      </c>
      <c r="N44" s="73">
        <f xml:space="preserve"> F_Inputs!H31</f>
        <v>0</v>
      </c>
      <c r="O44" s="73">
        <f xml:space="preserve"> F_Inputs!I31</f>
        <v>0</v>
      </c>
      <c r="P44" s="73">
        <f xml:space="preserve"> F_Inputs!J31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5"/>
      <c r="D45" s="53" t="s">
        <v>49</v>
      </c>
      <c r="E45" s="45" t="str">
        <f t="shared" si="6"/>
        <v>Unmetered wastewater-only customer</v>
      </c>
      <c r="F45" s="58" t="s">
        <v>44</v>
      </c>
      <c r="G45" s="18"/>
      <c r="H45" s="18"/>
      <c r="I45" s="18"/>
      <c r="J45" s="18"/>
      <c r="K45" s="18"/>
      <c r="L45" s="73">
        <f xml:space="preserve"> F_Inputs!F32</f>
        <v>0</v>
      </c>
      <c r="M45" s="73">
        <f xml:space="preserve"> F_Inputs!G32</f>
        <v>0</v>
      </c>
      <c r="N45" s="73">
        <f xml:space="preserve"> F_Inputs!H32</f>
        <v>0</v>
      </c>
      <c r="O45" s="73">
        <f xml:space="preserve"> F_Inputs!I32</f>
        <v>0</v>
      </c>
      <c r="P45" s="73">
        <f xml:space="preserve"> F_Inputs!J32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5"/>
      <c r="D46" s="53" t="s">
        <v>49</v>
      </c>
      <c r="E46" s="45" t="str">
        <f t="shared" si="6"/>
        <v>Unmetered water and wastewater customer</v>
      </c>
      <c r="F46" s="58" t="s">
        <v>44</v>
      </c>
      <c r="G46" s="18"/>
      <c r="H46" s="18"/>
      <c r="I46" s="18"/>
      <c r="J46" s="18"/>
      <c r="K46" s="18"/>
      <c r="L46" s="73">
        <f xml:space="preserve"> F_Inputs!F33</f>
        <v>0</v>
      </c>
      <c r="M46" s="73">
        <f xml:space="preserve"> F_Inputs!G33</f>
        <v>0</v>
      </c>
      <c r="N46" s="73">
        <f xml:space="preserve"> F_Inputs!H33</f>
        <v>0</v>
      </c>
      <c r="O46" s="73">
        <f xml:space="preserve"> F_Inputs!I33</f>
        <v>0</v>
      </c>
      <c r="P46" s="73">
        <f xml:space="preserve"> F_Inputs!J33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5"/>
      <c r="D47" s="53" t="s">
        <v>49</v>
      </c>
      <c r="E47" s="45" t="str">
        <f t="shared" si="6"/>
        <v>Metered water-only customer</v>
      </c>
      <c r="F47" s="58" t="s">
        <v>44</v>
      </c>
      <c r="G47" s="18"/>
      <c r="H47" s="18"/>
      <c r="I47" s="18"/>
      <c r="K47" s="18"/>
      <c r="L47" s="73">
        <f xml:space="preserve"> F_Inputs!F34</f>
        <v>0</v>
      </c>
      <c r="M47" s="73">
        <f xml:space="preserve"> F_Inputs!G34</f>
        <v>0</v>
      </c>
      <c r="N47" s="73">
        <f xml:space="preserve"> F_Inputs!H34</f>
        <v>0</v>
      </c>
      <c r="O47" s="73">
        <f xml:space="preserve"> F_Inputs!I34</f>
        <v>0</v>
      </c>
      <c r="P47" s="73">
        <f xml:space="preserve"> F_Inputs!J34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5"/>
      <c r="D48" s="53" t="s">
        <v>49</v>
      </c>
      <c r="E48" s="45" t="str">
        <f t="shared" si="6"/>
        <v>Metered wastewater-only customer</v>
      </c>
      <c r="F48" s="58" t="s">
        <v>44</v>
      </c>
      <c r="G48" s="18"/>
      <c r="H48" s="18"/>
      <c r="I48" s="18"/>
      <c r="J48" s="18"/>
      <c r="K48" s="18"/>
      <c r="L48" s="73">
        <f xml:space="preserve"> F_Inputs!F35</f>
        <v>0</v>
      </c>
      <c r="M48" s="73">
        <f xml:space="preserve"> F_Inputs!G35</f>
        <v>0</v>
      </c>
      <c r="N48" s="73">
        <f xml:space="preserve"> F_Inputs!H35</f>
        <v>0</v>
      </c>
      <c r="O48" s="73">
        <f xml:space="preserve"> F_Inputs!I35</f>
        <v>0</v>
      </c>
      <c r="P48" s="73">
        <f xml:space="preserve"> F_Inputs!J35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5"/>
      <c r="D49" s="53" t="s">
        <v>49</v>
      </c>
      <c r="E49" s="45" t="str">
        <f t="shared" si="6"/>
        <v>Metered water and wastewater customer</v>
      </c>
      <c r="F49" s="58" t="s">
        <v>44</v>
      </c>
      <c r="G49" s="18"/>
      <c r="H49" s="18"/>
      <c r="I49" s="18"/>
      <c r="J49" s="18"/>
      <c r="K49" s="18"/>
      <c r="L49" s="73">
        <f xml:space="preserve"> F_Inputs!F36</f>
        <v>0</v>
      </c>
      <c r="M49" s="73">
        <f xml:space="preserve"> F_Inputs!G36</f>
        <v>0</v>
      </c>
      <c r="N49" s="73">
        <f xml:space="preserve"> F_Inputs!H36</f>
        <v>0</v>
      </c>
      <c r="O49" s="73">
        <f xml:space="preserve"> F_Inputs!I36</f>
        <v>0</v>
      </c>
      <c r="P49" s="73">
        <f xml:space="preserve"> F_Inputs!J36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3" t="s">
        <v>49</v>
      </c>
      <c r="E52" s="45" t="str">
        <f t="shared" ref="E52:E57" si="7">INDEX(Customer.List,A52)</f>
        <v>Unmetered water-only customer</v>
      </c>
      <c r="F52" s="58" t="s">
        <v>44</v>
      </c>
      <c r="G52" s="18"/>
      <c r="H52" s="18"/>
      <c r="I52" s="18"/>
      <c r="J52" s="18"/>
      <c r="K52" s="18"/>
      <c r="L52" s="84">
        <f>L36+L44</f>
        <v>7.6139999999999999</v>
      </c>
      <c r="M52" s="84">
        <f t="shared" ref="M52:P52" si="8">M36+M44</f>
        <v>7.4580000000000002</v>
      </c>
      <c r="N52" s="84">
        <f t="shared" si="8"/>
        <v>7.39</v>
      </c>
      <c r="O52" s="84">
        <f t="shared" si="8"/>
        <v>7.0890000000000004</v>
      </c>
      <c r="P52" s="84">
        <f t="shared" si="8"/>
        <v>6.9249999999999998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3" t="s">
        <v>49</v>
      </c>
      <c r="E53" s="45" t="str">
        <f t="shared" si="7"/>
        <v>Unmetered wastewater-only customer</v>
      </c>
      <c r="F53" s="58" t="s">
        <v>44</v>
      </c>
      <c r="G53" s="18"/>
      <c r="H53" s="18"/>
      <c r="I53" s="18"/>
      <c r="J53" s="18"/>
      <c r="K53" s="18"/>
      <c r="L53" s="84">
        <f t="shared" ref="L53:P57" si="9">L37+L45</f>
        <v>0.35099999999999998</v>
      </c>
      <c r="M53" s="84">
        <f t="shared" si="9"/>
        <v>0.40600000000000003</v>
      </c>
      <c r="N53" s="84">
        <f t="shared" si="9"/>
        <v>0.41699999999999998</v>
      </c>
      <c r="O53" s="84">
        <f t="shared" si="9"/>
        <v>0.74099999999999999</v>
      </c>
      <c r="P53" s="84">
        <f t="shared" si="9"/>
        <v>0.77900000000000003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3" t="s">
        <v>49</v>
      </c>
      <c r="E54" s="45" t="str">
        <f t="shared" si="7"/>
        <v>Unmetered water and wastewater customer</v>
      </c>
      <c r="F54" s="58" t="s">
        <v>44</v>
      </c>
      <c r="G54" s="18"/>
      <c r="H54" s="18"/>
      <c r="I54" s="18"/>
      <c r="J54" s="18"/>
      <c r="K54" s="18"/>
      <c r="L54" s="84">
        <f t="shared" si="9"/>
        <v>23.295999999999999</v>
      </c>
      <c r="M54" s="84">
        <f t="shared" si="9"/>
        <v>23.259</v>
      </c>
      <c r="N54" s="84">
        <f t="shared" si="9"/>
        <v>22.800999999999998</v>
      </c>
      <c r="O54" s="84">
        <f t="shared" si="9"/>
        <v>22.036999999999999</v>
      </c>
      <c r="P54" s="84">
        <f t="shared" si="9"/>
        <v>21.61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3" t="s">
        <v>49</v>
      </c>
      <c r="E55" s="45" t="str">
        <f t="shared" si="7"/>
        <v>Metered water-only customer</v>
      </c>
      <c r="F55" s="58" t="s">
        <v>44</v>
      </c>
      <c r="G55" s="18"/>
      <c r="H55" s="18"/>
      <c r="I55" s="18"/>
      <c r="K55" s="18"/>
      <c r="L55" s="84">
        <f t="shared" si="9"/>
        <v>11.973000000000001</v>
      </c>
      <c r="M55" s="84">
        <f t="shared" si="9"/>
        <v>12.13</v>
      </c>
      <c r="N55" s="84">
        <f t="shared" si="9"/>
        <v>12.263999999999999</v>
      </c>
      <c r="O55" s="84">
        <f t="shared" si="9"/>
        <v>13.61</v>
      </c>
      <c r="P55" s="84">
        <f t="shared" si="9"/>
        <v>14.227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3" t="s">
        <v>49</v>
      </c>
      <c r="E56" s="45" t="str">
        <f t="shared" si="7"/>
        <v>Metered wastewater-only customer</v>
      </c>
      <c r="F56" s="58" t="s">
        <v>44</v>
      </c>
      <c r="G56" s="18"/>
      <c r="H56" s="18"/>
      <c r="I56" s="18"/>
      <c r="J56" s="18"/>
      <c r="K56" s="18"/>
      <c r="L56" s="84">
        <f t="shared" si="9"/>
        <v>0.42199999999999999</v>
      </c>
      <c r="M56" s="84">
        <f t="shared" si="9"/>
        <v>0.48899999999999999</v>
      </c>
      <c r="N56" s="84">
        <f t="shared" si="9"/>
        <v>0.44500000000000001</v>
      </c>
      <c r="O56" s="84">
        <f t="shared" si="9"/>
        <v>1.05</v>
      </c>
      <c r="P56" s="84">
        <f t="shared" si="9"/>
        <v>1.1120000000000001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3" t="s">
        <v>49</v>
      </c>
      <c r="E57" s="45" t="str">
        <f t="shared" si="7"/>
        <v>Metered water and wastewater customer</v>
      </c>
      <c r="F57" s="58" t="s">
        <v>44</v>
      </c>
      <c r="G57" s="18"/>
      <c r="H57" s="18"/>
      <c r="I57" s="18"/>
      <c r="J57" s="18"/>
      <c r="K57" s="18"/>
      <c r="L57" s="84">
        <f t="shared" si="9"/>
        <v>13.484999999999999</v>
      </c>
      <c r="M57" s="84">
        <f t="shared" si="9"/>
        <v>14.209</v>
      </c>
      <c r="N57" s="84">
        <f t="shared" si="9"/>
        <v>15.458</v>
      </c>
      <c r="O57" s="84">
        <f t="shared" si="9"/>
        <v>15.612</v>
      </c>
      <c r="P57" s="84">
        <f t="shared" si="9"/>
        <v>16.518999999999998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5">
      <c r="A60" s="9"/>
      <c r="B60" s="13"/>
      <c r="C60" s="13"/>
      <c r="D60" s="32"/>
      <c r="E60" s="10" t="s">
        <v>29</v>
      </c>
      <c r="F60" s="5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2">
        <f xml:space="preserve"> F_Inputs!F43</f>
        <v>24.5954977417652</v>
      </c>
      <c r="M63" s="72">
        <f xml:space="preserve"> F_Inputs!G43</f>
        <v>24.867616176748601</v>
      </c>
      <c r="N63" s="72">
        <f xml:space="preserve"> F_Inputs!H43</f>
        <v>25.025299682297501</v>
      </c>
      <c r="O63" s="72">
        <f xml:space="preserve"> F_Inputs!I43</f>
        <v>25.1575278520653</v>
      </c>
      <c r="P63" s="72">
        <f xml:space="preserve"> F_Inputs!J43</f>
        <v>25.275933410111801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2">
        <f xml:space="preserve"> F_Inputs!F44</f>
        <v>24.5954977417652</v>
      </c>
      <c r="M64" s="72">
        <f xml:space="preserve"> F_Inputs!G44</f>
        <v>24.867616176748601</v>
      </c>
      <c r="N64" s="72">
        <f xml:space="preserve"> F_Inputs!H44</f>
        <v>25.025299682297501</v>
      </c>
      <c r="O64" s="72">
        <f xml:space="preserve"> F_Inputs!I44</f>
        <v>25.1575278520653</v>
      </c>
      <c r="P64" s="72">
        <f xml:space="preserve"> F_Inputs!J44</f>
        <v>25.275933410111801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2">
        <f xml:space="preserve"> F_Inputs!F45</f>
        <v>31.974147064294801</v>
      </c>
      <c r="M65" s="72">
        <f xml:space="preserve"> F_Inputs!G45</f>
        <v>32.327901029773102</v>
      </c>
      <c r="N65" s="72">
        <f xml:space="preserve"> F_Inputs!H45</f>
        <v>32.532889586986798</v>
      </c>
      <c r="O65" s="72">
        <f xml:space="preserve"> F_Inputs!I45</f>
        <v>32.704786207684897</v>
      </c>
      <c r="P65" s="72">
        <f xml:space="preserve"> F_Inputs!J45</f>
        <v>32.858713433145397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1"/>
      <c r="G66" s="18"/>
      <c r="H66" s="18"/>
      <c r="I66" s="18"/>
      <c r="J66" s="18"/>
      <c r="K66" s="22"/>
      <c r="L66" s="72">
        <f xml:space="preserve"> F_Inputs!F46</f>
        <v>27.546130668649301</v>
      </c>
      <c r="M66" s="72">
        <f xml:space="preserve"> F_Inputs!G46</f>
        <v>27.823934754016399</v>
      </c>
      <c r="N66" s="72">
        <f xml:space="preserve"> F_Inputs!H46</f>
        <v>27.9906967716251</v>
      </c>
      <c r="O66" s="72">
        <f xml:space="preserve"> F_Inputs!I46</f>
        <v>28.130283624768801</v>
      </c>
      <c r="P66" s="72">
        <f xml:space="preserve"> F_Inputs!J46</f>
        <v>28.2556348055857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2">
        <f xml:space="preserve"> F_Inputs!F47</f>
        <v>27.561658079736599</v>
      </c>
      <c r="M67" s="72">
        <f xml:space="preserve"> F_Inputs!G47</f>
        <v>27.824954532424499</v>
      </c>
      <c r="N67" s="72">
        <f xml:space="preserve"> F_Inputs!H47</f>
        <v>27.9762451303551</v>
      </c>
      <c r="O67" s="72">
        <f xml:space="preserve"> F_Inputs!I47</f>
        <v>28.129820791195201</v>
      </c>
      <c r="P67" s="72">
        <f xml:space="preserve"> F_Inputs!J47</f>
        <v>28.267346936180001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2">
        <f xml:space="preserve"> F_Inputs!F48</f>
        <v>37.877599835727501</v>
      </c>
      <c r="M68" s="72">
        <f xml:space="preserve"> F_Inputs!G48</f>
        <v>38.240619090793402</v>
      </c>
      <c r="N68" s="72">
        <f xml:space="preserve"> F_Inputs!H48</f>
        <v>38.4627070441502</v>
      </c>
      <c r="O68" s="72">
        <f xml:space="preserve"> F_Inputs!I48</f>
        <v>38.6475588609336</v>
      </c>
      <c r="P68" s="72">
        <f xml:space="preserve"> F_Inputs!J48</f>
        <v>38.815129113904398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5">
      <c r="A70" s="9"/>
      <c r="B70" s="13"/>
      <c r="C70" s="13"/>
      <c r="D70" s="32"/>
      <c r="E70" s="10" t="s">
        <v>68</v>
      </c>
      <c r="F70" s="5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3" t="s">
        <v>54</v>
      </c>
      <c r="E72" t="s">
        <v>55</v>
      </c>
      <c r="F72" s="19"/>
      <c r="G72" s="18"/>
      <c r="H72" s="18"/>
      <c r="I72" s="69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3" t="s">
        <v>54</v>
      </c>
      <c r="E73" t="s">
        <v>70</v>
      </c>
      <c r="F73" s="19"/>
      <c r="G73" s="18"/>
      <c r="H73" s="18"/>
      <c r="I73" s="69">
        <f xml:space="preserve"> F_Inputs!K50</f>
        <v>3.5999999999999997E-2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 activeCell="P77" sqref="P77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56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2" customFormat="1" ht="33.75">
      <c r="A1" s="29"/>
      <c r="B1" s="29"/>
      <c r="C1" s="29"/>
      <c r="D1" s="29" t="s">
        <v>27</v>
      </c>
      <c r="E1" s="29"/>
      <c r="F1" s="55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8"/>
      <c r="X1" s="29"/>
    </row>
    <row r="2" spans="1:24" s="2" customFormat="1" ht="15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4" t="s">
        <v>62</v>
      </c>
    </row>
    <row r="7" spans="1:24"/>
    <row r="8" spans="1:24" s="12" customFormat="1" ht="15">
      <c r="A8" s="9"/>
      <c r="B8" s="13"/>
      <c r="C8" s="13"/>
      <c r="D8" s="32"/>
      <c r="E8" s="10" t="s">
        <v>42</v>
      </c>
      <c r="F8" s="57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3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5392</v>
      </c>
      <c r="M11" s="43">
        <f t="shared" si="3"/>
        <v>8907</v>
      </c>
      <c r="N11" s="43">
        <f t="shared" si="3"/>
        <v>12588</v>
      </c>
      <c r="O11" s="43">
        <f t="shared" si="3"/>
        <v>16333</v>
      </c>
      <c r="P11" s="43">
        <f t="shared" si="3"/>
        <v>21106</v>
      </c>
    </row>
    <row r="12" spans="1:24" s="18" customFormat="1">
      <c r="A12" s="8">
        <v>2</v>
      </c>
      <c r="B12"/>
      <c r="C12"/>
      <c r="D12" s="53" t="s">
        <v>48</v>
      </c>
      <c r="E12" s="45" t="str">
        <f t="shared" si="2"/>
        <v>Unmetered wastewater-only customer</v>
      </c>
      <c r="F12" s="19"/>
      <c r="L12" s="43">
        <f t="shared" si="3"/>
        <v>49</v>
      </c>
      <c r="M12" s="43">
        <f t="shared" si="3"/>
        <v>581</v>
      </c>
      <c r="N12" s="43">
        <f t="shared" si="3"/>
        <v>490</v>
      </c>
      <c r="O12" s="43">
        <f t="shared" si="3"/>
        <v>-2105</v>
      </c>
      <c r="P12" s="43">
        <f t="shared" si="3"/>
        <v>-37</v>
      </c>
    </row>
    <row r="13" spans="1:24" s="18" customFormat="1">
      <c r="A13" s="8">
        <v>3</v>
      </c>
      <c r="B13"/>
      <c r="C13"/>
      <c r="D13" s="53" t="s">
        <v>48</v>
      </c>
      <c r="E13" s="45" t="str">
        <f t="shared" si="2"/>
        <v>Unmetered water and wastewater customer</v>
      </c>
      <c r="F13" s="19"/>
      <c r="L13" s="43">
        <f t="shared" si="3"/>
        <v>-1230</v>
      </c>
      <c r="M13" s="43">
        <f t="shared" si="3"/>
        <v>-2581</v>
      </c>
      <c r="N13" s="43">
        <f t="shared" si="3"/>
        <v>-4888</v>
      </c>
      <c r="O13" s="43">
        <f t="shared" si="3"/>
        <v>-2093</v>
      </c>
      <c r="P13" s="43">
        <f t="shared" si="3"/>
        <v>-3108</v>
      </c>
    </row>
    <row r="14" spans="1:24" s="18" customFormat="1">
      <c r="A14" s="8">
        <v>4</v>
      </c>
      <c r="B14"/>
      <c r="C14"/>
      <c r="D14" s="53" t="s">
        <v>48</v>
      </c>
      <c r="E14" s="45" t="str">
        <f t="shared" si="2"/>
        <v>Metered water-only customer</v>
      </c>
      <c r="F14" s="19"/>
      <c r="L14" s="43">
        <f t="shared" si="3"/>
        <v>-3627</v>
      </c>
      <c r="M14" s="43">
        <f t="shared" si="3"/>
        <v>-7382</v>
      </c>
      <c r="N14" s="43">
        <f t="shared" si="3"/>
        <v>-11219</v>
      </c>
      <c r="O14" s="43">
        <f t="shared" si="3"/>
        <v>5093</v>
      </c>
      <c r="P14" s="43">
        <f t="shared" si="3"/>
        <v>7724</v>
      </c>
    </row>
    <row r="15" spans="1:24" s="18" customFormat="1">
      <c r="A15" s="8">
        <v>5</v>
      </c>
      <c r="B15"/>
      <c r="C15"/>
      <c r="D15" s="53" t="s">
        <v>48</v>
      </c>
      <c r="E15" s="45" t="str">
        <f t="shared" si="2"/>
        <v>Metered wastewater-only customer</v>
      </c>
      <c r="F15" s="19"/>
      <c r="L15" s="43">
        <f t="shared" si="3"/>
        <v>-3769</v>
      </c>
      <c r="M15" s="43">
        <f t="shared" si="3"/>
        <v>-5050</v>
      </c>
      <c r="N15" s="43">
        <f t="shared" si="3"/>
        <v>-6358</v>
      </c>
      <c r="O15" s="43">
        <f t="shared" si="3"/>
        <v>-4145</v>
      </c>
      <c r="P15" s="43">
        <f t="shared" si="3"/>
        <v>-4240</v>
      </c>
    </row>
    <row r="16" spans="1:24" s="18" customFormat="1">
      <c r="A16" s="8">
        <v>6</v>
      </c>
      <c r="B16"/>
      <c r="C16"/>
      <c r="D16" s="53" t="s">
        <v>48</v>
      </c>
      <c r="E16" s="45" t="str">
        <f t="shared" si="2"/>
        <v>Metered water and wastewater customer</v>
      </c>
      <c r="F16" s="19"/>
      <c r="L16" s="43">
        <f t="shared" si="3"/>
        <v>293</v>
      </c>
      <c r="M16" s="43">
        <f t="shared" si="3"/>
        <v>530</v>
      </c>
      <c r="N16" s="43">
        <f t="shared" si="3"/>
        <v>3080</v>
      </c>
      <c r="O16" s="43">
        <f t="shared" si="3"/>
        <v>1372</v>
      </c>
      <c r="P16" s="43">
        <f t="shared" si="3"/>
        <v>2165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-2892</v>
      </c>
      <c r="M17" s="46">
        <f t="shared" ref="M17:P17" si="4">SUM(M11:M16)</f>
        <v>-4995</v>
      </c>
      <c r="N17" s="46">
        <f t="shared" si="4"/>
        <v>-6307</v>
      </c>
      <c r="O17" s="46">
        <f t="shared" si="4"/>
        <v>14455</v>
      </c>
      <c r="P17" s="46">
        <f t="shared" si="4"/>
        <v>23610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3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2601</v>
      </c>
      <c r="M20" s="43">
        <f t="shared" si="6"/>
        <v>8268</v>
      </c>
      <c r="N20" s="43">
        <f t="shared" si="6"/>
        <v>11137</v>
      </c>
      <c r="O20" s="43">
        <f t="shared" si="6"/>
        <v>14450</v>
      </c>
      <c r="P20" s="43">
        <f t="shared" si="6"/>
        <v>21106</v>
      </c>
    </row>
    <row r="21" spans="1:24" s="18" customFormat="1">
      <c r="A21" s="8">
        <v>2</v>
      </c>
      <c r="B21"/>
      <c r="C21"/>
      <c r="D21" s="53" t="s">
        <v>48</v>
      </c>
      <c r="E21" s="45" t="str">
        <f t="shared" si="5"/>
        <v>Unmetered wastewater-only customer</v>
      </c>
      <c r="F21" s="19"/>
      <c r="L21" s="43">
        <f t="shared" si="6"/>
        <v>952</v>
      </c>
      <c r="M21" s="43">
        <f t="shared" si="6"/>
        <v>382</v>
      </c>
      <c r="N21" s="43">
        <f t="shared" si="6"/>
        <v>488</v>
      </c>
      <c r="O21" s="43">
        <f t="shared" si="6"/>
        <v>115.9194032951018</v>
      </c>
      <c r="P21" s="43">
        <f t="shared" si="6"/>
        <v>-37</v>
      </c>
    </row>
    <row r="22" spans="1:24" s="18" customFormat="1">
      <c r="A22" s="8">
        <v>3</v>
      </c>
      <c r="B22"/>
      <c r="C22"/>
      <c r="D22" s="53" t="s">
        <v>48</v>
      </c>
      <c r="E22" s="45" t="str">
        <f t="shared" si="5"/>
        <v>Unmetered water and wastewater customer</v>
      </c>
      <c r="F22" s="19"/>
      <c r="L22" s="43">
        <f t="shared" si="6"/>
        <v>-1382</v>
      </c>
      <c r="M22" s="43">
        <f t="shared" si="6"/>
        <v>3370</v>
      </c>
      <c r="N22" s="43">
        <f t="shared" si="6"/>
        <v>987</v>
      </c>
      <c r="O22" s="43">
        <f t="shared" si="6"/>
        <v>-6114</v>
      </c>
      <c r="P22" s="43">
        <f t="shared" si="6"/>
        <v>-3108</v>
      </c>
    </row>
    <row r="23" spans="1:24" s="18" customFormat="1">
      <c r="A23" s="8">
        <v>4</v>
      </c>
      <c r="B23"/>
      <c r="C23"/>
      <c r="D23" s="53" t="s">
        <v>48</v>
      </c>
      <c r="E23" s="45" t="str">
        <f t="shared" si="5"/>
        <v>Metered water-only customer</v>
      </c>
      <c r="F23" s="19"/>
      <c r="L23" s="43">
        <f t="shared" si="6"/>
        <v>-1205.9856408979977</v>
      </c>
      <c r="M23" s="43">
        <f t="shared" si="6"/>
        <v>-4396</v>
      </c>
      <c r="N23" s="43">
        <f t="shared" si="6"/>
        <v>-7956</v>
      </c>
      <c r="O23" s="43">
        <f t="shared" si="6"/>
        <v>-10854.16020929598</v>
      </c>
      <c r="P23" s="43">
        <f t="shared" si="6"/>
        <v>7724</v>
      </c>
    </row>
    <row r="24" spans="1:24" s="18" customFormat="1">
      <c r="A24" s="8">
        <v>5</v>
      </c>
      <c r="B24"/>
      <c r="C24"/>
      <c r="D24" s="53" t="s">
        <v>48</v>
      </c>
      <c r="E24" s="45" t="str">
        <f t="shared" si="5"/>
        <v>Metered wastewater-only customer</v>
      </c>
      <c r="F24" s="19"/>
      <c r="L24" s="43">
        <f t="shared" si="6"/>
        <v>-4344</v>
      </c>
      <c r="M24" s="43">
        <f t="shared" si="6"/>
        <v>-4624.6273735643008</v>
      </c>
      <c r="N24" s="43">
        <f t="shared" si="6"/>
        <v>-6298.6845887365998</v>
      </c>
      <c r="O24" s="43">
        <f t="shared" si="6"/>
        <v>-6807.8136083063</v>
      </c>
      <c r="P24" s="43">
        <f t="shared" si="6"/>
        <v>-4240</v>
      </c>
    </row>
    <row r="25" spans="1:24" s="18" customFormat="1">
      <c r="A25" s="8">
        <v>6</v>
      </c>
      <c r="B25"/>
      <c r="C25"/>
      <c r="D25" s="53" t="s">
        <v>48</v>
      </c>
      <c r="E25" s="45" t="str">
        <f t="shared" si="5"/>
        <v>Metered water and wastewater customer</v>
      </c>
      <c r="F25" s="19"/>
      <c r="L25" s="43">
        <f t="shared" si="6"/>
        <v>2616</v>
      </c>
      <c r="M25" s="43">
        <f t="shared" si="6"/>
        <v>1451.6273735639988</v>
      </c>
      <c r="N25" s="43">
        <f t="shared" si="6"/>
        <v>336.68458873697091</v>
      </c>
      <c r="O25" s="43">
        <f t="shared" si="6"/>
        <v>4229.0621219620225</v>
      </c>
      <c r="P25" s="43">
        <f t="shared" si="6"/>
        <v>2165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-762.98564089799765</v>
      </c>
      <c r="M26" s="46">
        <f t="shared" ref="M26:P26" si="7">SUM(M20:M25)</f>
        <v>4450.999999999698</v>
      </c>
      <c r="N26" s="46">
        <f t="shared" si="7"/>
        <v>-1305.9999999996289</v>
      </c>
      <c r="O26" s="46">
        <f t="shared" si="7"/>
        <v>-4980.9922923451559</v>
      </c>
      <c r="P26" s="46">
        <f t="shared" si="7"/>
        <v>23610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3" t="s">
        <v>49</v>
      </c>
      <c r="E29" s="45" t="str">
        <f t="shared" ref="E29:E34" si="8">INDEX(Customer.List,A29)</f>
        <v>Unmetered water-only customer</v>
      </c>
      <c r="F29" s="58" t="s">
        <v>44</v>
      </c>
      <c r="L29" s="96">
        <f t="shared" ref="L29:P34" si="9">(L11-L20)*INDEX(Modification.Factor,$A29,L$6)/1000000</f>
        <v>6.8646034197266684E-2</v>
      </c>
      <c r="M29" s="96">
        <f t="shared" si="9"/>
        <v>1.5890406736942357E-2</v>
      </c>
      <c r="N29" s="96">
        <f t="shared" si="9"/>
        <v>3.6311709839013676E-2</v>
      </c>
      <c r="O29" s="96">
        <f t="shared" si="9"/>
        <v>4.7371624945438964E-2</v>
      </c>
      <c r="P29" s="96">
        <f t="shared" si="9"/>
        <v>0</v>
      </c>
    </row>
    <row r="30" spans="1:24" s="18" customFormat="1">
      <c r="A30" s="8">
        <v>2</v>
      </c>
      <c r="B30"/>
      <c r="C30"/>
      <c r="D30" s="53" t="s">
        <v>49</v>
      </c>
      <c r="E30" s="45" t="str">
        <f t="shared" si="8"/>
        <v>Unmetered wastewater-only customer</v>
      </c>
      <c r="F30" s="58" t="s">
        <v>44</v>
      </c>
      <c r="L30" s="96">
        <f t="shared" si="9"/>
        <v>-2.2209734460813976E-2</v>
      </c>
      <c r="M30" s="96">
        <f t="shared" si="9"/>
        <v>4.9486556191729713E-3</v>
      </c>
      <c r="N30" s="96">
        <f t="shared" si="9"/>
        <v>5.0050599364595E-5</v>
      </c>
      <c r="O30" s="96">
        <f t="shared" si="9"/>
        <v>-5.5872841745588771E-2</v>
      </c>
      <c r="P30" s="96">
        <f t="shared" si="9"/>
        <v>0</v>
      </c>
    </row>
    <row r="31" spans="1:24" s="18" customFormat="1">
      <c r="A31" s="8">
        <v>3</v>
      </c>
      <c r="D31" s="53" t="s">
        <v>49</v>
      </c>
      <c r="E31" s="45" t="str">
        <f t="shared" si="8"/>
        <v>Unmetered water and wastewater customer</v>
      </c>
      <c r="F31" s="58" t="s">
        <v>44</v>
      </c>
      <c r="L31" s="96">
        <f t="shared" si="9"/>
        <v>4.8600703537728098E-3</v>
      </c>
      <c r="M31" s="96">
        <f t="shared" si="9"/>
        <v>-0.19238333902817972</v>
      </c>
      <c r="N31" s="96">
        <f t="shared" si="9"/>
        <v>-0.19113072632354741</v>
      </c>
      <c r="O31" s="96">
        <f t="shared" si="9"/>
        <v>0.13150594534110097</v>
      </c>
      <c r="P31" s="96">
        <f t="shared" si="9"/>
        <v>0</v>
      </c>
    </row>
    <row r="32" spans="1:24" s="18" customFormat="1">
      <c r="A32" s="8">
        <v>4</v>
      </c>
      <c r="D32" s="53" t="s">
        <v>49</v>
      </c>
      <c r="E32" s="45" t="str">
        <f t="shared" si="8"/>
        <v>Metered water-only customer</v>
      </c>
      <c r="F32" s="58" t="s">
        <v>44</v>
      </c>
      <c r="L32" s="96">
        <f t="shared" si="9"/>
        <v>-6.6689577886499998E-2</v>
      </c>
      <c r="M32" s="96">
        <f t="shared" si="9"/>
        <v>-8.3082269175492968E-2</v>
      </c>
      <c r="N32" s="96">
        <f t="shared" si="9"/>
        <v>-9.1333643565812694E-2</v>
      </c>
      <c r="O32" s="96">
        <f t="shared" si="9"/>
        <v>0.44859813969712331</v>
      </c>
      <c r="P32" s="96">
        <f t="shared" si="9"/>
        <v>0</v>
      </c>
    </row>
    <row r="33" spans="1:24" s="18" customFormat="1">
      <c r="A33" s="8">
        <v>5</v>
      </c>
      <c r="D33" s="53" t="s">
        <v>49</v>
      </c>
      <c r="E33" s="45" t="str">
        <f t="shared" si="8"/>
        <v>Metered wastewater-only customer</v>
      </c>
      <c r="F33" s="58" t="s">
        <v>44</v>
      </c>
      <c r="L33" s="96">
        <f t="shared" si="9"/>
        <v>1.5847953395848543E-2</v>
      </c>
      <c r="M33" s="96">
        <f t="shared" si="9"/>
        <v>-1.1835973989911321E-2</v>
      </c>
      <c r="N33" s="96">
        <f t="shared" si="9"/>
        <v>-1.6594224855127088E-3</v>
      </c>
      <c r="O33" s="96">
        <f t="shared" si="9"/>
        <v>7.490446960201208E-2</v>
      </c>
      <c r="P33" s="96">
        <f t="shared" si="9"/>
        <v>0</v>
      </c>
    </row>
    <row r="34" spans="1:24" s="18" customFormat="1">
      <c r="A34" s="8">
        <v>6</v>
      </c>
      <c r="D34" s="53" t="s">
        <v>49</v>
      </c>
      <c r="E34" s="45" t="str">
        <f t="shared" si="8"/>
        <v>Metered water and wastewater customer</v>
      </c>
      <c r="F34" s="58" t="s">
        <v>44</v>
      </c>
      <c r="L34" s="96">
        <f t="shared" si="9"/>
        <v>-8.7989664418394981E-2</v>
      </c>
      <c r="M34" s="96">
        <f t="shared" si="9"/>
        <v>-3.5243601336109237E-2</v>
      </c>
      <c r="N34" s="96">
        <f t="shared" si="9"/>
        <v>0.10551533699311232</v>
      </c>
      <c r="O34" s="96">
        <f t="shared" si="9"/>
        <v>-0.11041847652787111</v>
      </c>
      <c r="P34" s="96">
        <f t="shared" si="9"/>
        <v>0</v>
      </c>
    </row>
    <row r="35" spans="1:24" s="18" customFormat="1">
      <c r="D35" s="53" t="s">
        <v>49</v>
      </c>
      <c r="E35" s="14" t="s">
        <v>22</v>
      </c>
      <c r="F35" s="19"/>
      <c r="L35" s="97">
        <f>SUM(L29:L34)</f>
        <v>-8.7534918818820917E-2</v>
      </c>
      <c r="M35" s="97">
        <f t="shared" ref="M35:P35" si="10">SUM(M29:M34)</f>
        <v>-0.30170612117357798</v>
      </c>
      <c r="N35" s="97">
        <f t="shared" si="10"/>
        <v>-0.14224669494338221</v>
      </c>
      <c r="O35" s="97">
        <f t="shared" si="10"/>
        <v>0.53608886131221545</v>
      </c>
      <c r="P35" s="97">
        <f t="shared" si="10"/>
        <v>0</v>
      </c>
      <c r="W35" s="41">
        <f>SUM(L35:P35)</f>
        <v>4.6011263764342836E-3</v>
      </c>
    </row>
    <row r="36" spans="1:24" s="3" customFormat="1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3" t="s">
        <v>49</v>
      </c>
      <c r="E37" s="14" t="s">
        <v>59</v>
      </c>
      <c r="F37" s="19"/>
      <c r="L37" s="41"/>
      <c r="M37" s="41"/>
      <c r="N37" s="41"/>
      <c r="O37" s="41"/>
      <c r="P37" s="79">
        <f>SUM(L35:P35)</f>
        <v>4.6011263764342836E-3</v>
      </c>
      <c r="W37" s="22"/>
    </row>
    <row r="38" spans="1:24" s="18" customFormat="1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0"/>
      <c r="M39" s="80"/>
      <c r="N39" s="80"/>
      <c r="O39" s="80"/>
      <c r="P39" s="80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3" t="s">
        <v>49</v>
      </c>
      <c r="E40" s="45" t="str">
        <f t="shared" ref="E40:E45" si="11">INDEX(Customer.List,A40)</f>
        <v>Unmetered water-only customer</v>
      </c>
      <c r="F40" s="58" t="s">
        <v>44</v>
      </c>
      <c r="L40" s="43">
        <f t="shared" ref="L40:P45" si="12">INDEX(Reforecast.Customer.Numbers,$A20,L$6)*INDEX(Modification.Factor,$A29,L$6)/1000000</f>
        <v>7.5486779984183832</v>
      </c>
      <c r="M40" s="43">
        <f t="shared" si="12"/>
        <v>7.4584695170436781</v>
      </c>
      <c r="N40" s="43">
        <f t="shared" si="12"/>
        <v>7.2490285083717527</v>
      </c>
      <c r="O40" s="43">
        <f t="shared" si="12"/>
        <v>7.040585744678995</v>
      </c>
      <c r="P40" s="43">
        <f t="shared" si="12"/>
        <v>6.9238111630985149</v>
      </c>
    </row>
    <row r="41" spans="1:24" s="18" customFormat="1">
      <c r="A41" s="8">
        <v>2</v>
      </c>
      <c r="D41" s="53" t="s">
        <v>49</v>
      </c>
      <c r="E41" s="45" t="str">
        <f t="shared" si="11"/>
        <v>Unmetered wastewater-only customer</v>
      </c>
      <c r="F41" s="58" t="s">
        <v>44</v>
      </c>
      <c r="L41" s="43">
        <f t="shared" si="12"/>
        <v>0.8530456481776425</v>
      </c>
      <c r="M41" s="43">
        <f t="shared" si="12"/>
        <v>0.83035457175781247</v>
      </c>
      <c r="N41" s="43">
        <f t="shared" si="12"/>
        <v>0.82020419708730063</v>
      </c>
      <c r="O41" s="43">
        <f t="shared" si="12"/>
        <v>0.7970136122674325</v>
      </c>
      <c r="P41" s="43">
        <f t="shared" si="12"/>
        <v>0.77865040463190405</v>
      </c>
    </row>
    <row r="42" spans="1:24" s="18" customFormat="1">
      <c r="A42" s="8">
        <v>3</v>
      </c>
      <c r="D42" s="53" t="s">
        <v>49</v>
      </c>
      <c r="E42" s="45" t="str">
        <f t="shared" si="11"/>
        <v>Unmetered water and wastewater customer</v>
      </c>
      <c r="F42" s="58" t="s">
        <v>44</v>
      </c>
      <c r="L42" s="43">
        <f t="shared" si="12"/>
        <v>23.032480915323568</v>
      </c>
      <c r="M42" s="43">
        <f t="shared" si="12"/>
        <v>22.948413136598852</v>
      </c>
      <c r="N42" s="43">
        <f t="shared" si="12"/>
        <v>22.520762685033262</v>
      </c>
      <c r="O42" s="43">
        <f t="shared" si="12"/>
        <v>21.909263328390189</v>
      </c>
      <c r="P42" s="43">
        <f t="shared" si="12"/>
        <v>21.610518650711064</v>
      </c>
    </row>
    <row r="43" spans="1:24" s="18" customFormat="1">
      <c r="A43" s="8">
        <v>4</v>
      </c>
      <c r="D43" s="53" t="s">
        <v>49</v>
      </c>
      <c r="E43" s="45" t="str">
        <f t="shared" si="11"/>
        <v>Metered water-only customer</v>
      </c>
      <c r="F43" s="58" t="s">
        <v>44</v>
      </c>
      <c r="L43" s="43">
        <f t="shared" si="12"/>
        <v>11.748094572148602</v>
      </c>
      <c r="M43" s="43">
        <f t="shared" si="12"/>
        <v>12.239387187140013</v>
      </c>
      <c r="N43" s="43">
        <f t="shared" si="12"/>
        <v>12.692241497609542</v>
      </c>
      <c r="O43" s="43">
        <f t="shared" si="12"/>
        <v>13.161395683638519</v>
      </c>
      <c r="P43" s="43">
        <f t="shared" si="12"/>
        <v>14.224903763984843</v>
      </c>
    </row>
    <row r="44" spans="1:24" s="18" customFormat="1">
      <c r="A44" s="8">
        <v>5</v>
      </c>
      <c r="D44" s="53" t="s">
        <v>49</v>
      </c>
      <c r="E44" s="45" t="str">
        <f t="shared" si="11"/>
        <v>Metered wastewater-only customer</v>
      </c>
      <c r="F44" s="58" t="s">
        <v>44</v>
      </c>
      <c r="L44" s="43">
        <f t="shared" si="12"/>
        <v>0.85228915279969475</v>
      </c>
      <c r="M44" s="43">
        <f t="shared" si="12"/>
        <v>0.9098863815239121</v>
      </c>
      <c r="N44" s="43">
        <f t="shared" si="12"/>
        <v>0.92593860910218451</v>
      </c>
      <c r="O44" s="43">
        <f t="shared" si="12"/>
        <v>0.97506922125013995</v>
      </c>
      <c r="P44" s="43">
        <f t="shared" si="12"/>
        <v>1.1113872794897892</v>
      </c>
    </row>
    <row r="45" spans="1:24" s="18" customFormat="1">
      <c r="A45" s="8">
        <v>6</v>
      </c>
      <c r="D45" s="53" t="s">
        <v>49</v>
      </c>
      <c r="E45" s="45" t="str">
        <f t="shared" si="11"/>
        <v>Metered water and wastewater customer</v>
      </c>
      <c r="F45" s="58" t="s">
        <v>44</v>
      </c>
      <c r="L45" s="43">
        <f t="shared" si="12"/>
        <v>13.008607132382581</v>
      </c>
      <c r="M45" s="43">
        <f t="shared" si="12"/>
        <v>13.872038010053341</v>
      </c>
      <c r="N45" s="43">
        <f t="shared" si="12"/>
        <v>14.702819188539936</v>
      </c>
      <c r="O45" s="43">
        <f t="shared" si="12"/>
        <v>15.722177173519722</v>
      </c>
      <c r="P45" s="43">
        <f t="shared" si="12"/>
        <v>16.516730185935941</v>
      </c>
    </row>
    <row r="46" spans="1:24" s="18" customFormat="1" ht="13.5" customHeight="1">
      <c r="D46" s="53" t="s">
        <v>49</v>
      </c>
      <c r="E46" s="14" t="s">
        <v>22</v>
      </c>
      <c r="F46" s="19"/>
      <c r="L46" s="46">
        <f>SUM(L40:L45)</f>
        <v>57.043195419250466</v>
      </c>
      <c r="M46" s="46">
        <f t="shared" ref="M46:P46" si="13">SUM(M40:M45)</f>
        <v>58.258548804117609</v>
      </c>
      <c r="N46" s="46">
        <f t="shared" si="13"/>
        <v>58.910994685743972</v>
      </c>
      <c r="O46" s="46">
        <f t="shared" si="13"/>
        <v>59.605504763744989</v>
      </c>
      <c r="P46" s="46">
        <f t="shared" si="13"/>
        <v>61.166001447852054</v>
      </c>
      <c r="W46" s="41">
        <f>SUM(L46:P46)</f>
        <v>294.98424512070909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3" t="s">
        <v>49</v>
      </c>
      <c r="E49" s="45" t="str">
        <f t="shared" ref="E49:E54" si="14">INDEX(Customer.List,A49)</f>
        <v>Unmetered water-only customer</v>
      </c>
      <c r="F49" s="58" t="s">
        <v>44</v>
      </c>
      <c r="L49" s="43">
        <f t="shared" ref="L49:P54" si="15">INDEX(Actual.Revenue.Collected.Net,$A49,L$6)</f>
        <v>7.6139999999999999</v>
      </c>
      <c r="M49" s="43">
        <f t="shared" si="15"/>
        <v>7.4580000000000002</v>
      </c>
      <c r="N49" s="43">
        <f t="shared" si="15"/>
        <v>7.39</v>
      </c>
      <c r="O49" s="43">
        <f t="shared" si="15"/>
        <v>7.0890000000000004</v>
      </c>
      <c r="P49" s="43">
        <f t="shared" si="15"/>
        <v>6.9249999999999998</v>
      </c>
    </row>
    <row r="50" spans="1:23" s="18" customFormat="1">
      <c r="A50" s="8">
        <v>2</v>
      </c>
      <c r="D50" s="53" t="s">
        <v>49</v>
      </c>
      <c r="E50" s="45" t="str">
        <f t="shared" si="14"/>
        <v>Unmetered wastewater-only customer</v>
      </c>
      <c r="F50" s="58" t="s">
        <v>44</v>
      </c>
      <c r="L50" s="43">
        <f t="shared" si="15"/>
        <v>0.35099999999999998</v>
      </c>
      <c r="M50" s="43">
        <f t="shared" si="15"/>
        <v>0.40600000000000003</v>
      </c>
      <c r="N50" s="43">
        <f t="shared" si="15"/>
        <v>0.41699999999999998</v>
      </c>
      <c r="O50" s="43">
        <f t="shared" si="15"/>
        <v>0.74099999999999999</v>
      </c>
      <c r="P50" s="43">
        <f t="shared" si="15"/>
        <v>0.77900000000000003</v>
      </c>
    </row>
    <row r="51" spans="1:23" s="18" customFormat="1">
      <c r="A51" s="8">
        <v>3</v>
      </c>
      <c r="D51" s="53" t="s">
        <v>49</v>
      </c>
      <c r="E51" s="45" t="str">
        <f t="shared" si="14"/>
        <v>Unmetered water and wastewater customer</v>
      </c>
      <c r="F51" s="58" t="s">
        <v>44</v>
      </c>
      <c r="L51" s="43">
        <f t="shared" si="15"/>
        <v>23.295999999999999</v>
      </c>
      <c r="M51" s="43">
        <f t="shared" si="15"/>
        <v>23.259</v>
      </c>
      <c r="N51" s="43">
        <f t="shared" si="15"/>
        <v>22.800999999999998</v>
      </c>
      <c r="O51" s="43">
        <f t="shared" si="15"/>
        <v>22.036999999999999</v>
      </c>
      <c r="P51" s="43">
        <f t="shared" si="15"/>
        <v>21.61</v>
      </c>
    </row>
    <row r="52" spans="1:23" s="18" customFormat="1">
      <c r="A52" s="8">
        <v>4</v>
      </c>
      <c r="D52" s="53" t="s">
        <v>49</v>
      </c>
      <c r="E52" s="45" t="str">
        <f t="shared" si="14"/>
        <v>Metered water-only customer</v>
      </c>
      <c r="F52" s="58" t="s">
        <v>44</v>
      </c>
      <c r="L52" s="43">
        <f t="shared" si="15"/>
        <v>11.973000000000001</v>
      </c>
      <c r="M52" s="43">
        <f t="shared" si="15"/>
        <v>12.13</v>
      </c>
      <c r="N52" s="43">
        <f t="shared" si="15"/>
        <v>12.263999999999999</v>
      </c>
      <c r="O52" s="43">
        <f t="shared" si="15"/>
        <v>13.61</v>
      </c>
      <c r="P52" s="43">
        <f t="shared" si="15"/>
        <v>14.227</v>
      </c>
    </row>
    <row r="53" spans="1:23" s="18" customFormat="1">
      <c r="A53" s="8">
        <v>5</v>
      </c>
      <c r="D53" s="53" t="s">
        <v>49</v>
      </c>
      <c r="E53" s="45" t="str">
        <f t="shared" si="14"/>
        <v>Metered wastewater-only customer</v>
      </c>
      <c r="F53" s="58" t="s">
        <v>44</v>
      </c>
      <c r="L53" s="43">
        <f t="shared" si="15"/>
        <v>0.42199999999999999</v>
      </c>
      <c r="M53" s="43">
        <f t="shared" si="15"/>
        <v>0.48899999999999999</v>
      </c>
      <c r="N53" s="43">
        <f t="shared" si="15"/>
        <v>0.44500000000000001</v>
      </c>
      <c r="O53" s="43">
        <f t="shared" si="15"/>
        <v>1.05</v>
      </c>
      <c r="P53" s="43">
        <f t="shared" si="15"/>
        <v>1.1120000000000001</v>
      </c>
    </row>
    <row r="54" spans="1:23" s="18" customFormat="1">
      <c r="A54" s="8">
        <v>6</v>
      </c>
      <c r="D54" s="53" t="s">
        <v>49</v>
      </c>
      <c r="E54" s="45" t="str">
        <f t="shared" si="14"/>
        <v>Metered water and wastewater customer</v>
      </c>
      <c r="F54" s="58" t="s">
        <v>44</v>
      </c>
      <c r="L54" s="43">
        <f t="shared" si="15"/>
        <v>13.484999999999999</v>
      </c>
      <c r="M54" s="43">
        <f t="shared" si="15"/>
        <v>14.209</v>
      </c>
      <c r="N54" s="43">
        <f t="shared" si="15"/>
        <v>15.458</v>
      </c>
      <c r="O54" s="43">
        <f t="shared" si="15"/>
        <v>15.612</v>
      </c>
      <c r="P54" s="43">
        <f t="shared" si="15"/>
        <v>16.518999999999998</v>
      </c>
    </row>
    <row r="55" spans="1:23" s="18" customFormat="1">
      <c r="D55" s="53" t="s">
        <v>49</v>
      </c>
      <c r="E55" s="14" t="s">
        <v>22</v>
      </c>
      <c r="F55" s="19"/>
      <c r="L55" s="46">
        <f>SUM(L49:L54)</f>
        <v>57.140999999999998</v>
      </c>
      <c r="M55" s="46">
        <f t="shared" ref="M55:P55" si="16">SUM(M49:M54)</f>
        <v>57.950999999999993</v>
      </c>
      <c r="N55" s="46">
        <f t="shared" si="16"/>
        <v>58.774999999999999</v>
      </c>
      <c r="O55" s="46">
        <f t="shared" si="16"/>
        <v>60.138999999999996</v>
      </c>
      <c r="P55" s="46">
        <f t="shared" si="16"/>
        <v>61.171999999999997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3" t="s">
        <v>49</v>
      </c>
      <c r="E58" s="45" t="str">
        <f t="shared" ref="E58:E63" si="17">INDEX(Customer.List,A58)</f>
        <v>Unmetered water-only customer</v>
      </c>
      <c r="F58" s="58" t="s">
        <v>44</v>
      </c>
      <c r="L58" s="43">
        <f t="shared" ref="L58:P63" si="18">L40-L49</f>
        <v>-6.5322001581616718E-2</v>
      </c>
      <c r="M58" s="43">
        <f t="shared" si="18"/>
        <v>4.6951704367792502E-4</v>
      </c>
      <c r="N58" s="43">
        <f t="shared" si="18"/>
        <v>-0.14097149162824696</v>
      </c>
      <c r="O58" s="43">
        <f t="shared" si="18"/>
        <v>-4.8414255321005406E-2</v>
      </c>
      <c r="P58" s="43">
        <f t="shared" si="18"/>
        <v>-1.1888369014849687E-3</v>
      </c>
    </row>
    <row r="59" spans="1:23" s="18" customFormat="1">
      <c r="A59" s="8">
        <v>2</v>
      </c>
      <c r="D59" s="53" t="s">
        <v>49</v>
      </c>
      <c r="E59" s="45" t="str">
        <f t="shared" si="17"/>
        <v>Unmetered wastewater-only customer</v>
      </c>
      <c r="F59" s="58" t="s">
        <v>44</v>
      </c>
      <c r="L59" s="43">
        <f t="shared" si="18"/>
        <v>0.50204564817764252</v>
      </c>
      <c r="M59" s="43">
        <f t="shared" si="18"/>
        <v>0.42435457175781244</v>
      </c>
      <c r="N59" s="43">
        <f t="shared" si="18"/>
        <v>0.40320419708730065</v>
      </c>
      <c r="O59" s="43">
        <f t="shared" si="18"/>
        <v>5.6013612267432511E-2</v>
      </c>
      <c r="P59" s="43">
        <f t="shared" si="18"/>
        <v>-3.4959536809597846E-4</v>
      </c>
    </row>
    <row r="60" spans="1:23" s="18" customFormat="1">
      <c r="A60" s="8">
        <v>3</v>
      </c>
      <c r="D60" s="53" t="s">
        <v>49</v>
      </c>
      <c r="E60" s="45" t="str">
        <f t="shared" si="17"/>
        <v>Unmetered water and wastewater customer</v>
      </c>
      <c r="F60" s="58" t="s">
        <v>44</v>
      </c>
      <c r="L60" s="43">
        <f t="shared" si="18"/>
        <v>-0.2635190846764317</v>
      </c>
      <c r="M60" s="43">
        <f t="shared" si="18"/>
        <v>-0.31058686340114861</v>
      </c>
      <c r="N60" s="43">
        <f t="shared" si="18"/>
        <v>-0.28023731496673676</v>
      </c>
      <c r="O60" s="43">
        <f t="shared" si="18"/>
        <v>-0.12773667160981006</v>
      </c>
      <c r="P60" s="43">
        <f t="shared" si="18"/>
        <v>5.1865071106504956E-4</v>
      </c>
    </row>
    <row r="61" spans="1:23" s="18" customFormat="1">
      <c r="A61" s="8">
        <v>4</v>
      </c>
      <c r="D61" s="53" t="s">
        <v>49</v>
      </c>
      <c r="E61" s="45" t="str">
        <f t="shared" si="17"/>
        <v>Metered water-only customer</v>
      </c>
      <c r="F61" s="58" t="s">
        <v>44</v>
      </c>
      <c r="L61" s="43">
        <f t="shared" si="18"/>
        <v>-0.22490542785139844</v>
      </c>
      <c r="M61" s="43">
        <f t="shared" si="18"/>
        <v>0.10938718714001183</v>
      </c>
      <c r="N61" s="43">
        <f t="shared" si="18"/>
        <v>0.42824149760954278</v>
      </c>
      <c r="O61" s="43">
        <f t="shared" si="18"/>
        <v>-0.44860431636148057</v>
      </c>
      <c r="P61" s="43">
        <f t="shared" si="18"/>
        <v>-2.0962360151575155E-3</v>
      </c>
    </row>
    <row r="62" spans="1:23" s="18" customFormat="1">
      <c r="A62" s="8">
        <v>5</v>
      </c>
      <c r="D62" s="53" t="s">
        <v>49</v>
      </c>
      <c r="E62" s="45" t="str">
        <f t="shared" si="17"/>
        <v>Metered wastewater-only customer</v>
      </c>
      <c r="F62" s="58" t="s">
        <v>44</v>
      </c>
      <c r="L62" s="43">
        <f t="shared" si="18"/>
        <v>0.43028915279969476</v>
      </c>
      <c r="M62" s="43">
        <f t="shared" si="18"/>
        <v>0.42088638152391211</v>
      </c>
      <c r="N62" s="43">
        <f t="shared" si="18"/>
        <v>0.4809386091021845</v>
      </c>
      <c r="O62" s="43">
        <f t="shared" si="18"/>
        <v>-7.4930778749860094E-2</v>
      </c>
      <c r="P62" s="43">
        <f t="shared" si="18"/>
        <v>-6.1272051021088458E-4</v>
      </c>
    </row>
    <row r="63" spans="1:23" s="18" customFormat="1">
      <c r="A63" s="8">
        <v>6</v>
      </c>
      <c r="D63" s="53" t="s">
        <v>49</v>
      </c>
      <c r="E63" s="45" t="str">
        <f t="shared" si="17"/>
        <v>Metered water and wastewater customer</v>
      </c>
      <c r="F63" s="58" t="s">
        <v>44</v>
      </c>
      <c r="L63" s="43">
        <f t="shared" si="18"/>
        <v>-0.4763928676174185</v>
      </c>
      <c r="M63" s="43">
        <f t="shared" si="18"/>
        <v>-0.33696198994665849</v>
      </c>
      <c r="N63" s="43">
        <f t="shared" si="18"/>
        <v>-0.75518081146006466</v>
      </c>
      <c r="O63" s="43">
        <f t="shared" si="18"/>
        <v>0.11017717351972145</v>
      </c>
      <c r="P63" s="43">
        <f t="shared" si="18"/>
        <v>-2.2698140640571296E-3</v>
      </c>
    </row>
    <row r="64" spans="1:23" s="18" customFormat="1">
      <c r="D64" s="53" t="s">
        <v>49</v>
      </c>
      <c r="E64" s="14" t="s">
        <v>22</v>
      </c>
      <c r="F64" s="19"/>
      <c r="L64" s="46">
        <f>SUM(L58:L63)</f>
        <v>-9.7804580749528081E-2</v>
      </c>
      <c r="M64" s="46">
        <f t="shared" ref="M64:P64" si="19">SUM(M58:M63)</f>
        <v>0.30754880411760721</v>
      </c>
      <c r="N64" s="46">
        <f t="shared" si="19"/>
        <v>0.13599468574397955</v>
      </c>
      <c r="O64" s="46">
        <f t="shared" si="19"/>
        <v>-0.53349523625500217</v>
      </c>
      <c r="P64" s="46">
        <f t="shared" si="19"/>
        <v>-5.9985521479414272E-3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3" t="s">
        <v>49</v>
      </c>
      <c r="E66" s="14" t="s">
        <v>78</v>
      </c>
      <c r="F66" s="19"/>
      <c r="L66" s="39"/>
      <c r="M66" s="39"/>
      <c r="N66" s="39"/>
      <c r="O66" s="39"/>
      <c r="P66" s="109">
        <f>SUM(L64:P64)</f>
        <v>-0.19375487929088492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3" t="s">
        <v>49</v>
      </c>
      <c r="E69" s="45" t="str">
        <f t="shared" ref="E69:E74" si="20">INDEX(Customer.List,A69)</f>
        <v>Unmetered water-only customer</v>
      </c>
      <c r="F69" s="58" t="s">
        <v>44</v>
      </c>
      <c r="L69" s="43">
        <f>SUM(L29,L58)</f>
        <v>3.3240326156499661E-3</v>
      </c>
      <c r="M69" s="43">
        <f t="shared" ref="L69:P74" si="21">SUM(M29,M58)</f>
        <v>1.6359923780620282E-2</v>
      </c>
      <c r="N69" s="43">
        <f t="shared" si="21"/>
        <v>-0.10465978178923328</v>
      </c>
      <c r="O69" s="43">
        <f t="shared" si="21"/>
        <v>-1.0426303755664418E-3</v>
      </c>
      <c r="P69" s="43">
        <f t="shared" si="21"/>
        <v>-1.1888369014849687E-3</v>
      </c>
    </row>
    <row r="70" spans="1:23" s="18" customFormat="1">
      <c r="A70" s="8">
        <v>2</v>
      </c>
      <c r="D70" s="53" t="s">
        <v>49</v>
      </c>
      <c r="E70" s="45" t="str">
        <f t="shared" si="20"/>
        <v>Unmetered wastewater-only customer</v>
      </c>
      <c r="F70" s="58" t="s">
        <v>44</v>
      </c>
      <c r="L70" s="43">
        <f t="shared" si="21"/>
        <v>0.47983591371682854</v>
      </c>
      <c r="M70" s="43">
        <f t="shared" si="21"/>
        <v>0.4293032273769854</v>
      </c>
      <c r="N70" s="43">
        <f t="shared" si="21"/>
        <v>0.40325424768666523</v>
      </c>
      <c r="O70" s="43">
        <f t="shared" si="21"/>
        <v>1.4077052184374023E-4</v>
      </c>
      <c r="P70" s="43">
        <f t="shared" si="21"/>
        <v>-3.4959536809597846E-4</v>
      </c>
    </row>
    <row r="71" spans="1:23" s="18" customFormat="1">
      <c r="A71" s="8">
        <v>3</v>
      </c>
      <c r="D71" s="53" t="s">
        <v>49</v>
      </c>
      <c r="E71" s="45" t="str">
        <f t="shared" si="20"/>
        <v>Unmetered water and wastewater customer</v>
      </c>
      <c r="F71" s="58" t="s">
        <v>44</v>
      </c>
      <c r="L71" s="43">
        <f t="shared" si="21"/>
        <v>-0.25865901432265892</v>
      </c>
      <c r="M71" s="43">
        <f t="shared" si="21"/>
        <v>-0.50297020242932833</v>
      </c>
      <c r="N71" s="43">
        <f t="shared" si="21"/>
        <v>-0.4713680412902842</v>
      </c>
      <c r="O71" s="43">
        <f t="shared" si="21"/>
        <v>3.7692737312909064E-3</v>
      </c>
      <c r="P71" s="43">
        <f t="shared" si="21"/>
        <v>5.1865071106504956E-4</v>
      </c>
    </row>
    <row r="72" spans="1:23" s="18" customFormat="1">
      <c r="A72" s="8">
        <v>4</v>
      </c>
      <c r="D72" s="53" t="s">
        <v>49</v>
      </c>
      <c r="E72" s="45" t="str">
        <f t="shared" si="20"/>
        <v>Metered water-only customer</v>
      </c>
      <c r="F72" s="58" t="s">
        <v>44</v>
      </c>
      <c r="L72" s="43">
        <f t="shared" si="21"/>
        <v>-0.29159500573789843</v>
      </c>
      <c r="M72" s="43">
        <f t="shared" si="21"/>
        <v>2.6304917964518865E-2</v>
      </c>
      <c r="N72" s="43">
        <f t="shared" si="21"/>
        <v>0.33690785404373008</v>
      </c>
      <c r="O72" s="43">
        <f t="shared" si="21"/>
        <v>-6.1766643572602753E-6</v>
      </c>
      <c r="P72" s="43">
        <f t="shared" si="21"/>
        <v>-2.0962360151575155E-3</v>
      </c>
      <c r="W72" s="30"/>
    </row>
    <row r="73" spans="1:23" s="18" customFormat="1">
      <c r="A73" s="8">
        <v>5</v>
      </c>
      <c r="D73" s="53" t="s">
        <v>49</v>
      </c>
      <c r="E73" s="45" t="str">
        <f t="shared" si="20"/>
        <v>Metered wastewater-only customer</v>
      </c>
      <c r="F73" s="58" t="s">
        <v>44</v>
      </c>
      <c r="L73" s="43">
        <f t="shared" si="21"/>
        <v>0.44613710619554331</v>
      </c>
      <c r="M73" s="43">
        <f t="shared" si="21"/>
        <v>0.40905040753400079</v>
      </c>
      <c r="N73" s="43">
        <f t="shared" si="21"/>
        <v>0.47927918661667179</v>
      </c>
      <c r="O73" s="43">
        <f t="shared" si="21"/>
        <v>-2.6309147848013748E-5</v>
      </c>
      <c r="P73" s="43">
        <f t="shared" si="21"/>
        <v>-6.1272051021088458E-4</v>
      </c>
    </row>
    <row r="74" spans="1:23" s="18" customFormat="1">
      <c r="A74" s="8">
        <v>6</v>
      </c>
      <c r="D74" s="53" t="s">
        <v>49</v>
      </c>
      <c r="E74" s="45" t="str">
        <f t="shared" si="20"/>
        <v>Metered water and wastewater customer</v>
      </c>
      <c r="F74" s="58" t="s">
        <v>44</v>
      </c>
      <c r="L74" s="43">
        <f t="shared" si="21"/>
        <v>-0.56438253203581346</v>
      </c>
      <c r="M74" s="43">
        <f t="shared" si="21"/>
        <v>-0.37220559128276776</v>
      </c>
      <c r="N74" s="43">
        <f t="shared" si="21"/>
        <v>-0.64966547446695233</v>
      </c>
      <c r="O74" s="43">
        <f t="shared" si="21"/>
        <v>-2.4130300814965977E-4</v>
      </c>
      <c r="P74" s="43">
        <f t="shared" si="21"/>
        <v>-2.2698140640571296E-3</v>
      </c>
    </row>
    <row r="75" spans="1:23" s="18" customFormat="1">
      <c r="D75" s="53" t="s">
        <v>49</v>
      </c>
      <c r="E75" s="14" t="s">
        <v>22</v>
      </c>
      <c r="F75" s="19"/>
      <c r="L75" s="46">
        <f>SUM(L69:L74)</f>
        <v>-0.185339499568349</v>
      </c>
      <c r="M75" s="46">
        <f t="shared" ref="M75:P75" si="22">SUM(M69:M74)</f>
        <v>5.8426829440292316E-3</v>
      </c>
      <c r="N75" s="46">
        <f t="shared" si="22"/>
        <v>-6.2520091994027194E-3</v>
      </c>
      <c r="O75" s="46">
        <f t="shared" si="22"/>
        <v>2.593625057213271E-3</v>
      </c>
      <c r="P75" s="46">
        <f t="shared" si="22"/>
        <v>-5.9985521479414272E-3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3" t="s">
        <v>49</v>
      </c>
      <c r="E77" s="14" t="s">
        <v>47</v>
      </c>
      <c r="F77" s="19"/>
      <c r="L77" s="39"/>
      <c r="M77" s="39"/>
      <c r="N77" s="39"/>
      <c r="O77" s="39"/>
      <c r="P77" s="109">
        <f>SUM(L75:P75)</f>
        <v>-0.18915375291445063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2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2"/>
      <c r="W79" s="22"/>
    </row>
    <row r="80" spans="1:23" s="18" customFormat="1">
      <c r="A80" s="82"/>
      <c r="B80" s="82"/>
      <c r="C80" s="82"/>
      <c r="D80" s="53" t="s">
        <v>49</v>
      </c>
      <c r="E80" s="65" t="s">
        <v>57</v>
      </c>
      <c r="F80" s="19" t="s">
        <v>44</v>
      </c>
      <c r="G80" s="65"/>
      <c r="H80" s="65"/>
      <c r="I80" s="65"/>
      <c r="J80" s="65"/>
      <c r="K80" s="67"/>
      <c r="L80" s="76">
        <f>0-L64</f>
        <v>9.7804580749528081E-2</v>
      </c>
      <c r="M80" s="76">
        <f t="shared" ref="M80:P80" si="23">0-M64</f>
        <v>-0.30754880411760721</v>
      </c>
      <c r="N80" s="76">
        <f t="shared" si="23"/>
        <v>-0.13599468574397955</v>
      </c>
      <c r="O80" s="76">
        <f t="shared" si="23"/>
        <v>0.53349523625500217</v>
      </c>
      <c r="P80" s="76">
        <f t="shared" si="23"/>
        <v>5.9985521479414272E-3</v>
      </c>
      <c r="W80" s="41">
        <f>SUM(L80:P80)</f>
        <v>0.19375487929088492</v>
      </c>
    </row>
    <row r="81" spans="1:24" s="18" customFormat="1">
      <c r="A81" s="82"/>
      <c r="B81" s="82"/>
      <c r="C81" s="82"/>
      <c r="D81" s="53" t="s">
        <v>54</v>
      </c>
      <c r="E81" s="65" t="s">
        <v>58</v>
      </c>
      <c r="F81" s="19"/>
      <c r="G81" s="65"/>
      <c r="H81" s="65"/>
      <c r="I81" s="67"/>
      <c r="J81" s="67"/>
      <c r="K81" s="67"/>
      <c r="L81" s="76"/>
      <c r="M81" s="76"/>
      <c r="N81" s="76"/>
      <c r="O81" s="76"/>
      <c r="P81" s="76"/>
      <c r="W81" s="77">
        <f>IF(SUM(W35+W46)=0,0,W80/(W35+W46))</f>
        <v>6.5682103495056873E-4</v>
      </c>
    </row>
    <row r="82" spans="1:24" s="18" customFormat="1">
      <c r="A82" s="82"/>
      <c r="B82" s="82"/>
      <c r="C82" s="82"/>
      <c r="D82" s="66" t="s">
        <v>53</v>
      </c>
      <c r="E82" s="63" t="s">
        <v>60</v>
      </c>
      <c r="F82" s="19"/>
      <c r="G82" s="65"/>
      <c r="H82" s="65"/>
      <c r="I82" s="65"/>
      <c r="J82" s="65"/>
      <c r="K82" s="67"/>
      <c r="L82" s="39"/>
      <c r="M82" s="76"/>
      <c r="N82" s="76"/>
      <c r="O82" s="76"/>
      <c r="P82" s="76"/>
      <c r="W82" s="68" t="b">
        <f>ABS(W81)&gt;Materiality.Threshold</f>
        <v>0</v>
      </c>
    </row>
    <row r="83" spans="1:24" s="18" customFormat="1">
      <c r="A83" s="82"/>
      <c r="B83" s="82"/>
      <c r="C83" s="82"/>
      <c r="D83" s="31"/>
      <c r="E83" s="14"/>
      <c r="F83" s="19"/>
      <c r="L83" s="39"/>
      <c r="M83" s="39"/>
      <c r="N83" s="39"/>
      <c r="O83" s="39"/>
      <c r="P83" s="62"/>
      <c r="W83" s="22"/>
    </row>
    <row r="84" spans="1:24" s="18" customFormat="1">
      <c r="A84" s="82"/>
      <c r="B84" s="82"/>
      <c r="C84" s="82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2"/>
      <c r="B85" s="82"/>
      <c r="C85" s="82"/>
      <c r="D85" s="31"/>
      <c r="E85" s="14"/>
      <c r="F85" s="19"/>
      <c r="L85" s="39"/>
      <c r="M85" s="39"/>
      <c r="N85" s="39"/>
      <c r="O85" s="39"/>
      <c r="P85" s="81"/>
      <c r="W85" s="22"/>
    </row>
    <row r="86" spans="1:24" s="18" customFormat="1">
      <c r="A86" s="8">
        <v>1</v>
      </c>
      <c r="B86" s="82"/>
      <c r="C86" s="82"/>
      <c r="D86" s="53" t="s">
        <v>49</v>
      </c>
      <c r="E86" s="63" t="s">
        <v>63</v>
      </c>
      <c r="F86" s="19" t="s">
        <v>44</v>
      </c>
      <c r="H86"/>
      <c r="I86"/>
      <c r="J86"/>
      <c r="K86"/>
      <c r="L86" s="76">
        <f>INDEX($L$75:$P$75,1,$A86)</f>
        <v>-0.185339499568349</v>
      </c>
      <c r="M86" s="76">
        <f>L86*(1+Discount.Rate)</f>
        <v>-0.19201172155280957</v>
      </c>
      <c r="N86" s="76">
        <f>M86*(1+Discount.Rate)</f>
        <v>-0.19892414352871071</v>
      </c>
      <c r="O86" s="76">
        <f>N86*(1+Discount.Rate)</f>
        <v>-0.20608541269574429</v>
      </c>
      <c r="P86" s="76">
        <f>O86*(1+Discount.Rate)</f>
        <v>-0.21350448755279108</v>
      </c>
      <c r="W86" s="22"/>
    </row>
    <row r="87" spans="1:24" s="18" customFormat="1">
      <c r="A87" s="8">
        <v>2</v>
      </c>
      <c r="B87" s="82"/>
      <c r="C87" s="82"/>
      <c r="D87" s="53" t="s">
        <v>49</v>
      </c>
      <c r="E87" s="63" t="s">
        <v>66</v>
      </c>
      <c r="F87" s="19" t="s">
        <v>44</v>
      </c>
      <c r="H87"/>
      <c r="I87"/>
      <c r="J87"/>
      <c r="K87"/>
      <c r="L87" s="76"/>
      <c r="M87" s="76">
        <f>INDEX($L$75:$P$75,1,$A87)</f>
        <v>5.8426829440292316E-3</v>
      </c>
      <c r="N87" s="76">
        <f>M87*(1+Discount.Rate)</f>
        <v>6.053019530014284E-3</v>
      </c>
      <c r="O87" s="76">
        <f>N87*(1+Discount.Rate)</f>
        <v>6.2709282330947981E-3</v>
      </c>
      <c r="P87" s="76">
        <f>O87*(1+Discount.Rate)</f>
        <v>6.4966816494862112E-3</v>
      </c>
      <c r="W87" s="22"/>
    </row>
    <row r="88" spans="1:24" s="18" customFormat="1">
      <c r="A88" s="8">
        <v>3</v>
      </c>
      <c r="B88" s="82"/>
      <c r="C88" s="82"/>
      <c r="D88" s="53" t="s">
        <v>49</v>
      </c>
      <c r="E88" s="63" t="s">
        <v>64</v>
      </c>
      <c r="F88" s="19" t="s">
        <v>44</v>
      </c>
      <c r="H88"/>
      <c r="I88"/>
      <c r="J88"/>
      <c r="K88"/>
      <c r="L88" s="76"/>
      <c r="M88" s="76"/>
      <c r="N88" s="76">
        <f>INDEX($L$75:$P$75,1,$A88)</f>
        <v>-6.2520091994027194E-3</v>
      </c>
      <c r="O88" s="76">
        <f>N88*(1+Discount.Rate)</f>
        <v>-6.4770815305812178E-3</v>
      </c>
      <c r="P88" s="76">
        <f>O88*(1+Discount.Rate)</f>
        <v>-6.7102564656821417E-3</v>
      </c>
      <c r="W88" s="22"/>
    </row>
    <row r="89" spans="1:24" s="18" customFormat="1">
      <c r="A89" s="8">
        <v>4</v>
      </c>
      <c r="B89" s="82"/>
      <c r="C89" s="82"/>
      <c r="D89" s="53" t="s">
        <v>49</v>
      </c>
      <c r="E89" s="63" t="s">
        <v>65</v>
      </c>
      <c r="F89" s="19" t="s">
        <v>44</v>
      </c>
      <c r="H89"/>
      <c r="I89"/>
      <c r="J89"/>
      <c r="K89"/>
      <c r="L89" s="76"/>
      <c r="M89" s="76"/>
      <c r="N89" s="76"/>
      <c r="O89" s="76">
        <f>INDEX($L$75:$P$75,1,$A89)</f>
        <v>2.593625057213271E-3</v>
      </c>
      <c r="P89" s="76">
        <f>O89*(1+Discount.Rate)</f>
        <v>2.6869955592729489E-3</v>
      </c>
      <c r="W89" s="22"/>
    </row>
    <row r="90" spans="1:24" s="18" customFormat="1">
      <c r="A90" s="8">
        <v>5</v>
      </c>
      <c r="B90" s="82"/>
      <c r="C90" s="82"/>
      <c r="D90" s="53" t="s">
        <v>49</v>
      </c>
      <c r="E90" s="63" t="s">
        <v>67</v>
      </c>
      <c r="F90" s="19" t="s">
        <v>44</v>
      </c>
      <c r="H90"/>
      <c r="I90"/>
      <c r="J90"/>
      <c r="K90"/>
      <c r="L90" s="76"/>
      <c r="M90" s="76"/>
      <c r="N90" s="76"/>
      <c r="O90" s="76"/>
      <c r="P90" s="76">
        <f>INDEX($L$75:$P$75,1,$A90)</f>
        <v>-5.9985521479414272E-3</v>
      </c>
      <c r="W90" s="22"/>
    </row>
    <row r="91" spans="1:24" s="18" customFormat="1">
      <c r="A91" s="53"/>
      <c r="B91" s="83"/>
      <c r="C91" s="83"/>
      <c r="D91" s="53"/>
      <c r="E91" s="63"/>
      <c r="F91" s="19"/>
      <c r="H91"/>
      <c r="I91"/>
      <c r="J91"/>
      <c r="K91"/>
      <c r="L91" s="70"/>
      <c r="M91" s="70"/>
      <c r="N91" s="70"/>
      <c r="O91" s="70"/>
      <c r="P91" s="70"/>
      <c r="W91" s="22"/>
    </row>
    <row r="92" spans="1:24" s="18" customFormat="1">
      <c r="A92" s="82"/>
      <c r="B92" s="82"/>
      <c r="C92" s="82"/>
      <c r="D92" s="53" t="s">
        <v>49</v>
      </c>
      <c r="E92" s="75" t="s">
        <v>196</v>
      </c>
      <c r="F92" s="19" t="s">
        <v>44</v>
      </c>
      <c r="H92"/>
      <c r="I92"/>
      <c r="J92"/>
      <c r="K92"/>
      <c r="L92" s="70"/>
      <c r="M92" s="70"/>
      <c r="N92" s="70"/>
      <c r="O92" s="70"/>
      <c r="P92" s="109">
        <f>SUM(P86:P90)</f>
        <v>-0.21702961895765546</v>
      </c>
      <c r="W92" s="22"/>
    </row>
    <row r="93" spans="1:24" s="18" customFormat="1">
      <c r="A93" s="82"/>
      <c r="B93" s="82"/>
      <c r="C93" s="82"/>
      <c r="D93"/>
      <c r="E93" s="63"/>
      <c r="F93" s="56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2"/>
      <c r="B94" s="82"/>
      <c r="C94" s="82"/>
      <c r="D94" s="53" t="s">
        <v>49</v>
      </c>
      <c r="E94" s="64" t="s">
        <v>52</v>
      </c>
      <c r="F94" s="19" t="s">
        <v>44</v>
      </c>
      <c r="H94"/>
      <c r="I94"/>
      <c r="J94"/>
      <c r="K94"/>
      <c r="L94"/>
      <c r="M94"/>
      <c r="N94"/>
      <c r="O94"/>
      <c r="P94" s="95">
        <f>IF(W82,P92,P77)</f>
        <v>-0.18915375291445063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4"/>
      <c r="E96" s="47"/>
      <c r="F96" s="59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>
      <c r="F97" s="19"/>
    </row>
    <row r="98" spans="6:6" s="18" customFormat="1" hidden="1">
      <c r="F98" s="19"/>
    </row>
    <row r="99" spans="6:6" s="18" customFormat="1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5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195</v>
      </c>
    </row>
    <row r="18" spans="1:2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 activeCell="L4" sqref="L4"/>
    </sheetView>
  </sheetViews>
  <sheetFormatPr defaultColWidth="9.28515625" defaultRowHeight="15"/>
  <cols>
    <col min="1" max="1" width="9.140625" style="87" customWidth="1"/>
    <col min="2" max="2" width="18.5703125" style="87" customWidth="1"/>
    <col min="3" max="3" width="89.5703125" style="87" bestFit="1" customWidth="1"/>
    <col min="4" max="4" width="3.42578125" style="87" customWidth="1"/>
    <col min="5" max="5" width="15.85546875" style="87" customWidth="1"/>
    <col min="6" max="9" width="8.140625" style="87" customWidth="1"/>
    <col min="10" max="10" width="18.5703125" style="87" bestFit="1" customWidth="1"/>
    <col min="11" max="11" width="8.140625" style="87" customWidth="1"/>
    <col min="12" max="12" width="18.5703125" style="87" bestFit="1" customWidth="1"/>
    <col min="13" max="16384" width="9.28515625" style="87"/>
  </cols>
  <sheetData>
    <row r="1" spans="1:12">
      <c r="C1" s="87" t="s">
        <v>192</v>
      </c>
    </row>
    <row r="2" spans="1:12">
      <c r="A2" s="87" t="s">
        <v>83</v>
      </c>
      <c r="B2" s="87" t="s">
        <v>84</v>
      </c>
      <c r="C2" s="87" t="s">
        <v>85</v>
      </c>
      <c r="D2" s="87" t="s">
        <v>86</v>
      </c>
      <c r="E2" s="87" t="s">
        <v>87</v>
      </c>
      <c r="F2" s="88" t="s">
        <v>1</v>
      </c>
      <c r="G2" s="88" t="s">
        <v>2</v>
      </c>
      <c r="H2" s="88" t="s">
        <v>3</v>
      </c>
      <c r="I2" s="88" t="s">
        <v>4</v>
      </c>
      <c r="J2" s="88" t="s">
        <v>5</v>
      </c>
      <c r="K2" s="88" t="s">
        <v>61</v>
      </c>
      <c r="L2" s="104" t="s">
        <v>193</v>
      </c>
    </row>
    <row r="4" spans="1:12">
      <c r="B4" s="86" t="s">
        <v>184</v>
      </c>
      <c r="C4" s="86" t="s">
        <v>136</v>
      </c>
      <c r="D4" s="86" t="s">
        <v>49</v>
      </c>
      <c r="E4" s="86" t="s">
        <v>88</v>
      </c>
      <c r="F4" s="89"/>
      <c r="G4" s="89"/>
      <c r="H4" s="89"/>
      <c r="I4" s="89"/>
      <c r="J4" s="89">
        <f xml:space="preserve"> Calcs!P94</f>
        <v>-0.18915375291445063</v>
      </c>
      <c r="K4" s="89"/>
      <c r="L4" s="105">
        <f xml:space="preserve"> Calcs!P94</f>
        <v>-0.18915375291445063</v>
      </c>
    </row>
    <row r="5" spans="1:12" s="90" customFormat="1">
      <c r="B5" s="100" t="s">
        <v>186</v>
      </c>
      <c r="C5" s="100" t="s">
        <v>188</v>
      </c>
      <c r="D5" s="98" t="s">
        <v>185</v>
      </c>
      <c r="E5" s="99" t="s">
        <v>88</v>
      </c>
      <c r="F5" s="102">
        <f t="shared" ref="F5:L5" ca="1" si="0">NOW()</f>
        <v>43550.630602314814</v>
      </c>
      <c r="G5" s="103">
        <f t="shared" ca="1" si="0"/>
        <v>43550.630602314814</v>
      </c>
      <c r="H5" s="103">
        <f t="shared" ca="1" si="0"/>
        <v>43550.630602314814</v>
      </c>
      <c r="I5" s="103">
        <f t="shared" ca="1" si="0"/>
        <v>43550.630602314814</v>
      </c>
      <c r="J5" s="103">
        <f t="shared" ca="1" si="0"/>
        <v>43550.630602314814</v>
      </c>
      <c r="K5" s="103">
        <f t="shared" ca="1" si="0"/>
        <v>43550.630602314814</v>
      </c>
      <c r="L5" s="106">
        <f t="shared" ca="1" si="0"/>
        <v>43550.630602314814</v>
      </c>
    </row>
    <row r="6" spans="1:12">
      <c r="B6" s="100" t="s">
        <v>187</v>
      </c>
      <c r="C6" s="100" t="s">
        <v>189</v>
      </c>
      <c r="D6" s="98" t="s">
        <v>185</v>
      </c>
      <c r="E6" s="99" t="s">
        <v>88</v>
      </c>
      <c r="F6" s="101" t="str">
        <f t="shared" ref="F6:L6" ca="1" si="1">MID(CELL("filename"),SEARCH("[",CELL("filename"))+1,SEARCH("]",CELL("filename"))-SEARCH("[",CELL("filename"))-1)</f>
        <v>Residential-retail-revenue_NES_IAP Mar 19.xlsx</v>
      </c>
      <c r="G6" s="101" t="str">
        <f t="shared" ca="1" si="1"/>
        <v>Residential-retail-revenue_NES_IAP Mar 19.xlsx</v>
      </c>
      <c r="H6" s="101" t="str">
        <f t="shared" ca="1" si="1"/>
        <v>Residential-retail-revenue_NES_IAP Mar 19.xlsx</v>
      </c>
      <c r="I6" s="101" t="str">
        <f t="shared" ca="1" si="1"/>
        <v>Residential-retail-revenue_NES_IAP Mar 19.xlsx</v>
      </c>
      <c r="J6" s="101" t="str">
        <f t="shared" ca="1" si="1"/>
        <v>Residential-retail-revenue_NES_IAP Mar 19.xlsx</v>
      </c>
      <c r="K6" s="101" t="str">
        <f t="shared" ca="1" si="1"/>
        <v>Residential-retail-revenue_NES_IAP Mar 19.xlsx</v>
      </c>
      <c r="L6" s="107" t="str">
        <f t="shared" ca="1" si="1"/>
        <v>Residential-retail-revenue_NES_IAP Mar 19.xlsx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2019-01-16T16:59:04Z</dcterms:created>
  <dcterms:modified xsi:type="dcterms:W3CDTF">2019-03-26T15:08:14Z</dcterms:modified>
</cp:coreProperties>
</file>